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175" windowHeight="8160" firstSheet="1" activeTab="1"/>
  </bookViews>
  <sheets>
    <sheet name="нова формула" sheetId="1" state="hidden" r:id="rId1"/>
    <sheet name="у-ща 2021" sheetId="2" r:id="rId2"/>
    <sheet name="КЕРАМИКА" sheetId="3" state="hidden" r:id="rId3"/>
    <sheet name="ПГК 2021" sheetId="4" r:id="rId4"/>
    <sheet name="Лист2" sheetId="5" r:id="rId5"/>
    <sheet name="Лист1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<sst xmlns="http://schemas.openxmlformats.org/spreadsheetml/2006/main" count="341" uniqueCount="123">
  <si>
    <t>Наименование</t>
  </si>
  <si>
    <t>Всичко:</t>
  </si>
  <si>
    <t>Общо</t>
  </si>
  <si>
    <t>ОУ "Св.Св.К.и М."с. Доганово</t>
  </si>
  <si>
    <t>Целодневна орг.</t>
  </si>
  <si>
    <t>общо</t>
  </si>
  <si>
    <t>бр.ученици</t>
  </si>
  <si>
    <t>№</t>
  </si>
  <si>
    <t>1-4 клас</t>
  </si>
  <si>
    <t xml:space="preserve">  5-7 КЛАС</t>
  </si>
  <si>
    <t xml:space="preserve"> 8-12 КЛАС</t>
  </si>
  <si>
    <t xml:space="preserve"> Изкуства 8-12кл</t>
  </si>
  <si>
    <t>стандарт</t>
  </si>
  <si>
    <t>средства</t>
  </si>
  <si>
    <t>НУ "Христо Ботев"</t>
  </si>
  <si>
    <t>Стандарт за институция</t>
  </si>
  <si>
    <t xml:space="preserve">Общо </t>
  </si>
  <si>
    <t>бр. групи</t>
  </si>
  <si>
    <t>ПГ по керамика</t>
  </si>
  <si>
    <t>стандарт за институция</t>
  </si>
  <si>
    <t>бр. уч-ци ВФО</t>
  </si>
  <si>
    <t>ФОРМУЛА ЗА РАЗПРЕДЕЛЕНИЕ НА СРЕДСТВА В УЧИЛИЩА В ОБЩИНА ЕЛИН ПЕЛИН ЗА 2019 ГОДИНА</t>
  </si>
  <si>
    <t>деца 6 г.</t>
  </si>
  <si>
    <t>ОУ "Иван Вазов" с. Мусачево</t>
  </si>
  <si>
    <t>Занимания по интереси</t>
  </si>
  <si>
    <t>Стипендии</t>
  </si>
  <si>
    <t>Защитено училище</t>
  </si>
  <si>
    <t>Материална база</t>
  </si>
  <si>
    <t>Ресурсно подпомагане</t>
  </si>
  <si>
    <t>Самостоятелна форма</t>
  </si>
  <si>
    <t>бр. ученици</t>
  </si>
  <si>
    <t>ОУ "Отец Паисий" с. Габра</t>
  </si>
  <si>
    <t>НУ "Отец Паисий"- с. Гара Ел. Пелин</t>
  </si>
  <si>
    <t>СУ "Васил Левски" гр. Елин Пелин</t>
  </si>
  <si>
    <t>ОУ "Св.Св. К.и М." с. Нови хан</t>
  </si>
  <si>
    <t>ОУ "Хр. Ботев" с. Равно поле</t>
  </si>
  <si>
    <t>ОУ "Хр. Ботев" с. Лесново</t>
  </si>
  <si>
    <t>ОУ "Стефан Стефанов"</t>
  </si>
  <si>
    <t>стандарт ПГ</t>
  </si>
  <si>
    <t>стандарт за паралелка</t>
  </si>
  <si>
    <t>паралеки/бр.</t>
  </si>
  <si>
    <t>ученици/бр.</t>
  </si>
  <si>
    <r>
      <t>стандарт деца в група-</t>
    </r>
    <r>
      <rPr>
        <u val="single"/>
        <sz val="8"/>
        <color indexed="10"/>
        <rFont val="Arial"/>
        <family val="2"/>
      </rPr>
      <t>1355,00 лв.</t>
    </r>
  </si>
  <si>
    <t>общо/стандарт за група +стандарт деца/</t>
  </si>
  <si>
    <t>Професионална подготовка</t>
  </si>
  <si>
    <t>паралелка</t>
  </si>
  <si>
    <r>
      <t>средства паралелка/</t>
    </r>
    <r>
      <rPr>
        <b/>
        <u val="single"/>
        <sz val="8"/>
        <color indexed="10"/>
        <rFont val="Arial"/>
        <family val="2"/>
      </rPr>
      <t>стандарт 10934,00 лв.</t>
    </r>
  </si>
  <si>
    <t>общо средства</t>
  </si>
  <si>
    <t>Ученици без профил изкуства и професионална  подготовка</t>
  </si>
  <si>
    <r>
      <t xml:space="preserve">Средства регионален </t>
    </r>
    <r>
      <rPr>
        <b/>
        <u val="single"/>
        <sz val="8"/>
        <color indexed="10"/>
        <rFont val="Arial"/>
        <family val="2"/>
      </rPr>
      <t xml:space="preserve">коефициент-0,051 </t>
    </r>
  </si>
  <si>
    <t>за разпределяне/без профил изкуства и професионална подготовка</t>
  </si>
  <si>
    <t>ОБЩО БЮДЖЕТ 2019Гг.</t>
  </si>
  <si>
    <t>Норматив</t>
  </si>
  <si>
    <r>
      <t>Регионален коефициент-</t>
    </r>
    <r>
      <rPr>
        <b/>
        <u val="single"/>
        <sz val="8"/>
        <color indexed="10"/>
        <rFont val="Arial"/>
        <family val="2"/>
      </rPr>
      <t>0,051</t>
    </r>
  </si>
  <si>
    <t>Обща сума с регинален коефициент</t>
  </si>
  <si>
    <t>Норматив за подпомагане храненето 1-4 клас</t>
  </si>
  <si>
    <t>средства за един ученик</t>
  </si>
  <si>
    <t>бр.ученици в неспециализ. У-ща</t>
  </si>
  <si>
    <t>бр.ученици ПП</t>
  </si>
  <si>
    <t>Стандарт за индивидуална форма наобучение</t>
  </si>
  <si>
    <t>паралелки/бр.</t>
  </si>
  <si>
    <r>
      <t>от училища и ДГ-</t>
    </r>
    <r>
      <rPr>
        <b/>
        <u val="single"/>
        <sz val="10"/>
        <color indexed="10"/>
        <rFont val="Arial"/>
        <family val="2"/>
      </rPr>
      <t>2889,00 лв.</t>
    </r>
  </si>
  <si>
    <r>
      <t xml:space="preserve">от РЦПППО-        </t>
    </r>
    <r>
      <rPr>
        <b/>
        <u val="single"/>
        <sz val="10"/>
        <color indexed="10"/>
        <rFont val="Arial"/>
        <family val="2"/>
      </rPr>
      <t>405,00  лв.</t>
    </r>
  </si>
  <si>
    <t>Стандарт</t>
  </si>
  <si>
    <t>бр.ученици 1 и 2 гимн. Етап</t>
  </si>
  <si>
    <t>Допълващ стандарт за ученик в 1-ви и 2-ри гимн. Етап</t>
  </si>
  <si>
    <t>Обща сума по стандарти и нормативи</t>
  </si>
  <si>
    <r>
      <t>Средства регионален коефициент-</t>
    </r>
    <r>
      <rPr>
        <b/>
        <u val="single"/>
        <sz val="8"/>
        <color indexed="10"/>
        <rFont val="Arial"/>
        <family val="2"/>
      </rPr>
      <t xml:space="preserve">0,051 </t>
    </r>
  </si>
  <si>
    <t>Общо Ресурсно</t>
  </si>
  <si>
    <t>БЮДЖЕТ 2019г.</t>
  </si>
  <si>
    <t>Общо:</t>
  </si>
  <si>
    <t>бр. паралелки</t>
  </si>
  <si>
    <t>наименование</t>
  </si>
  <si>
    <t>обща сума</t>
  </si>
  <si>
    <t>Транспорт</t>
  </si>
  <si>
    <t xml:space="preserve">бр.ученици </t>
  </si>
  <si>
    <t>Дизайн</t>
  </si>
  <si>
    <t>Физически науки,информатика, техника</t>
  </si>
  <si>
    <t>Паралелки</t>
  </si>
  <si>
    <t>Вечерна форма на обучение</t>
  </si>
  <si>
    <t>Самостоятелна форма на обучение</t>
  </si>
  <si>
    <t>бр. уч-ци СФО</t>
  </si>
  <si>
    <t>Ученическо общежитие</t>
  </si>
  <si>
    <t xml:space="preserve"> група/норматив</t>
  </si>
  <si>
    <t>норматив</t>
  </si>
  <si>
    <t>Общо за институция, паралеки и ученици</t>
  </si>
  <si>
    <r>
      <t xml:space="preserve">Регионален коефициент </t>
    </r>
    <r>
      <rPr>
        <b/>
        <u val="single"/>
        <sz val="8"/>
        <color indexed="10"/>
        <rFont val="Arial"/>
        <family val="2"/>
      </rPr>
      <t>0,051</t>
    </r>
  </si>
  <si>
    <t xml:space="preserve"> общо+рег. Коеф.</t>
  </si>
  <si>
    <t>общо средства ученическо общ. Без рег. Кофиц.</t>
  </si>
  <si>
    <r>
      <t xml:space="preserve">рег. Коефициент </t>
    </r>
    <r>
      <rPr>
        <b/>
        <u val="single"/>
        <sz val="8"/>
        <color indexed="10"/>
        <rFont val="Arial"/>
        <family val="2"/>
      </rPr>
      <t>0,051</t>
    </r>
  </si>
  <si>
    <t>общо за общежитие</t>
  </si>
  <si>
    <t>общ брой ученици дневна форма на обучение</t>
  </si>
  <si>
    <r>
      <t>доп.станд. За МБ-</t>
    </r>
    <r>
      <rPr>
        <b/>
        <u val="single"/>
        <sz val="8"/>
        <color indexed="10"/>
        <rFont val="Arial"/>
        <family val="2"/>
      </rPr>
      <t>25,00.лв.</t>
    </r>
  </si>
  <si>
    <r>
      <t xml:space="preserve">норматив за стипенд. </t>
    </r>
    <r>
      <rPr>
        <b/>
        <u val="single"/>
        <sz val="8"/>
        <color indexed="10"/>
        <rFont val="Arial"/>
        <family val="2"/>
      </rPr>
      <t>97,00 лв</t>
    </r>
  </si>
  <si>
    <t>норматив за институця</t>
  </si>
  <si>
    <t>норматив за ученик</t>
  </si>
  <si>
    <t>общо средства за 140 ученика</t>
  </si>
  <si>
    <t>Средства за дейности за развитие на интересите</t>
  </si>
  <si>
    <t>допълващ стандарт за ученик в ДФО първи и втори гимн. Етап</t>
  </si>
  <si>
    <t>Общо средства по стандарти и нормативи</t>
  </si>
  <si>
    <t>Всичко</t>
  </si>
  <si>
    <t xml:space="preserve"> </t>
  </si>
  <si>
    <r>
      <t>норматив за стипенд.  Дуално 262,00</t>
    </r>
    <r>
      <rPr>
        <b/>
        <u val="single"/>
        <sz val="8"/>
        <color indexed="10"/>
        <rFont val="Arial"/>
        <family val="2"/>
      </rPr>
      <t>лв</t>
    </r>
  </si>
  <si>
    <r>
      <rPr>
        <b/>
        <u val="single"/>
        <sz val="8"/>
        <rFont val="Arial"/>
        <family val="2"/>
      </rPr>
      <t xml:space="preserve">Средства </t>
    </r>
    <r>
      <rPr>
        <b/>
        <sz val="8"/>
        <rFont val="Arial"/>
        <family val="2"/>
      </rPr>
      <t>ученици/</t>
    </r>
    <r>
      <rPr>
        <b/>
        <sz val="8"/>
        <color indexed="10"/>
        <rFont val="Arial"/>
        <family val="2"/>
      </rPr>
      <t xml:space="preserve">стандарт/ </t>
    </r>
    <r>
      <rPr>
        <b/>
        <u val="single"/>
        <sz val="8"/>
        <color indexed="10"/>
        <rFont val="Arial"/>
        <family val="2"/>
      </rPr>
      <t>2148,00 лв.</t>
    </r>
  </si>
  <si>
    <t>Комбинирана форма</t>
  </si>
  <si>
    <t>Станд.</t>
  </si>
  <si>
    <t>бр.ученици 1 и 2 ГЕ без ПП</t>
  </si>
  <si>
    <t>бр.ученици 1 и 2 ГЕ ПП</t>
  </si>
  <si>
    <t>Общо за институция, паралелки и ученици</t>
  </si>
  <si>
    <t>норматив за стипендии</t>
  </si>
  <si>
    <t>общо стипендии</t>
  </si>
  <si>
    <t>Поддръжка уч.автобус</t>
  </si>
  <si>
    <t>БЮДЖЕТ 2020 г.</t>
  </si>
  <si>
    <r>
      <t>стандарт деца в група-3 097,00</t>
    </r>
    <r>
      <rPr>
        <u val="single"/>
        <sz val="8"/>
        <color indexed="10"/>
        <rFont val="Arial"/>
        <family val="2"/>
      </rPr>
      <t xml:space="preserve"> лв.</t>
    </r>
  </si>
  <si>
    <r>
      <rPr>
        <b/>
        <u val="single"/>
        <sz val="8"/>
        <rFont val="Arial"/>
        <family val="2"/>
      </rPr>
      <t xml:space="preserve">Средства </t>
    </r>
    <r>
      <rPr>
        <b/>
        <sz val="8"/>
        <rFont val="Arial"/>
        <family val="2"/>
      </rPr>
      <t>ученици/</t>
    </r>
    <r>
      <rPr>
        <b/>
        <sz val="8"/>
        <color indexed="10"/>
        <rFont val="Arial"/>
        <family val="2"/>
      </rPr>
      <t>стандарт/ 3 777</t>
    </r>
  </si>
  <si>
    <r>
      <t>средства паралелка/</t>
    </r>
    <r>
      <rPr>
        <b/>
        <u val="single"/>
        <sz val="8"/>
        <color indexed="10"/>
        <rFont val="Arial"/>
        <family val="2"/>
      </rPr>
      <t>стандарт 14 393,00 лв.</t>
    </r>
  </si>
  <si>
    <r>
      <t>от училища и ДГ-3 749</t>
    </r>
    <r>
      <rPr>
        <b/>
        <u val="single"/>
        <sz val="10"/>
        <color indexed="10"/>
        <rFont val="Arial"/>
        <family val="2"/>
      </rPr>
      <t>,00 лв.</t>
    </r>
  </si>
  <si>
    <r>
      <t xml:space="preserve">от РЦПППО-        </t>
    </r>
    <r>
      <rPr>
        <b/>
        <u val="single"/>
        <sz val="10"/>
        <color indexed="10"/>
        <rFont val="Arial"/>
        <family val="2"/>
      </rPr>
      <t>495,00  лв.</t>
    </r>
  </si>
  <si>
    <t>97,00 лв./142уч.</t>
  </si>
  <si>
    <t>262,00 лв./60 уч.</t>
  </si>
  <si>
    <t>общо средства за 142 ученика</t>
  </si>
  <si>
    <t xml:space="preserve"> ФОРМУЛА ЗА РАЗПРЕДЕЛЕНИЕ НА СРЕДСТВАТА ПО СТАНДАРТИ И НОРМАТИВИ В ОБЩИНСКИ УЧИЛИЩА ЗА 2021 г.</t>
  </si>
  <si>
    <r>
      <t>О</t>
    </r>
    <r>
      <rPr>
        <b/>
        <sz val="8"/>
        <rFont val="Arial"/>
        <family val="2"/>
      </rPr>
      <t xml:space="preserve">бщо след разпределение по формула 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</si>
</sst>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000000"/>
    <numFmt numFmtId="173" formatCode="#,##0\ &quot;лв.&quot;"/>
    <numFmt numFmtId="174" formatCode="0.0"/>
    <numFmt numFmtId="175" formatCode="[$-402]dd\ mmmm\ yyyy\ &quot;г.&quot;"/>
    <numFmt numFmtId="176" formatCode="#,##0.00\ &quot;лв&quot;"/>
    <numFmt numFmtId="177" formatCode="0.0%"/>
    <numFmt numFmtId="178" formatCode="#,##0\ &quot;лв&quot;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60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5" tint="-0.24997000396251678"/>
      <name val="Arial"/>
      <family val="2"/>
    </font>
    <font>
      <b/>
      <u val="single"/>
      <sz val="8"/>
      <color rgb="FFFF0000"/>
      <name val="Arial"/>
      <family val="2"/>
    </font>
    <font>
      <b/>
      <sz val="8"/>
      <color theme="9" tint="-0.24997000396251678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 wrapText="1"/>
    </xf>
    <xf numFmtId="176" fontId="2" fillId="35" borderId="10" xfId="0" applyNumberFormat="1" applyFont="1" applyFill="1" applyBorder="1" applyAlignment="1">
      <alignment vertical="center" wrapText="1"/>
    </xf>
    <xf numFmtId="176" fontId="1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176" fontId="1" fillId="35" borderId="10" xfId="0" applyNumberFormat="1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wrapText="1"/>
    </xf>
    <xf numFmtId="176" fontId="1" fillId="35" borderId="10" xfId="0" applyNumberFormat="1" applyFont="1" applyFill="1" applyBorder="1" applyAlignment="1">
      <alignment horizontal="center" wrapText="1"/>
    </xf>
    <xf numFmtId="176" fontId="1" fillId="35" borderId="10" xfId="0" applyNumberFormat="1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1" fillId="7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176" fontId="2" fillId="6" borderId="10" xfId="0" applyNumberFormat="1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176" fontId="2" fillId="3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6" fontId="2" fillId="37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176" fontId="2" fillId="38" borderId="10" xfId="0" applyNumberFormat="1" applyFont="1" applyFill="1" applyBorder="1" applyAlignment="1">
      <alignment vertical="center" wrapText="1"/>
    </xf>
    <xf numFmtId="176" fontId="2" fillId="39" borderId="10" xfId="0" applyNumberFormat="1" applyFont="1" applyFill="1" applyBorder="1" applyAlignment="1">
      <alignment vertical="center" wrapText="1"/>
    </xf>
    <xf numFmtId="176" fontId="2" fillId="39" borderId="10" xfId="0" applyNumberFormat="1" applyFont="1" applyFill="1" applyBorder="1" applyAlignment="1">
      <alignment vertical="center"/>
    </xf>
    <xf numFmtId="176" fontId="2" fillId="39" borderId="10" xfId="0" applyNumberFormat="1" applyFont="1" applyFill="1" applyBorder="1" applyAlignment="1">
      <alignment horizontal="center" vertical="center" wrapText="1"/>
    </xf>
    <xf numFmtId="176" fontId="2" fillId="38" borderId="10" xfId="0" applyNumberFormat="1" applyFont="1" applyFill="1" applyBorder="1" applyAlignment="1">
      <alignment vertical="center"/>
    </xf>
    <xf numFmtId="176" fontId="2" fillId="18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1" fontId="1" fillId="9" borderId="10" xfId="0" applyNumberFormat="1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76" fontId="2" fillId="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76" fontId="2" fillId="7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76" fontId="2" fillId="4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176" fontId="57" fillId="35" borderId="10" xfId="0" applyNumberFormat="1" applyFont="1" applyFill="1" applyBorder="1" applyAlignment="1">
      <alignment vertical="center"/>
    </xf>
    <xf numFmtId="0" fontId="57" fillId="35" borderId="10" xfId="0" applyFont="1" applyFill="1" applyBorder="1" applyAlignment="1">
      <alignment horizontal="center" vertical="center" wrapText="1"/>
    </xf>
    <xf numFmtId="176" fontId="57" fillId="35" borderId="10" xfId="0" applyNumberFormat="1" applyFont="1" applyFill="1" applyBorder="1" applyAlignment="1">
      <alignment vertical="center" wrapText="1"/>
    </xf>
    <xf numFmtId="0" fontId="58" fillId="5" borderId="10" xfId="0" applyFont="1" applyFill="1" applyBorder="1" applyAlignment="1">
      <alignment horizontal="center" vertical="center" wrapText="1"/>
    </xf>
    <xf numFmtId="176" fontId="58" fillId="5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176" fontId="58" fillId="35" borderId="10" xfId="0" applyNumberFormat="1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6" fontId="38" fillId="0" borderId="0" xfId="0" applyNumberFormat="1" applyFont="1" applyBorder="1" applyAlignment="1">
      <alignment vertical="center"/>
    </xf>
    <xf numFmtId="0" fontId="1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176" fontId="0" fillId="35" borderId="0" xfId="0" applyNumberFormat="1" applyFill="1" applyBorder="1" applyAlignment="1">
      <alignment horizontal="center"/>
    </xf>
    <xf numFmtId="176" fontId="0" fillId="35" borderId="0" xfId="0" applyNumberFormat="1" applyFill="1" applyBorder="1" applyAlignment="1">
      <alignment vertical="center"/>
    </xf>
    <xf numFmtId="176" fontId="3" fillId="35" borderId="0" xfId="0" applyNumberFormat="1" applyFont="1" applyFill="1" applyBorder="1" applyAlignment="1">
      <alignment vertical="center"/>
    </xf>
    <xf numFmtId="0" fontId="0" fillId="35" borderId="0" xfId="0" applyNumberForma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176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176" fontId="38" fillId="35" borderId="0" xfId="0" applyNumberFormat="1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176" fontId="2" fillId="41" borderId="1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176" fontId="2" fillId="6" borderId="10" xfId="0" applyNumberFormat="1" applyFont="1" applyFill="1" applyBorder="1" applyAlignment="1">
      <alignment vertical="center" wrapText="1"/>
    </xf>
    <xf numFmtId="176" fontId="2" fillId="6" borderId="10" xfId="0" applyNumberFormat="1" applyFont="1" applyFill="1" applyBorder="1" applyAlignment="1">
      <alignment vertical="center"/>
    </xf>
    <xf numFmtId="176" fontId="58" fillId="6" borderId="10" xfId="0" applyNumberFormat="1" applyFont="1" applyFill="1" applyBorder="1" applyAlignment="1">
      <alignment horizontal="center" vertical="center" wrapText="1"/>
    </xf>
    <xf numFmtId="176" fontId="58" fillId="6" borderId="10" xfId="0" applyNumberFormat="1" applyFont="1" applyFill="1" applyBorder="1" applyAlignment="1">
      <alignment vertical="center" wrapText="1"/>
    </xf>
    <xf numFmtId="176" fontId="58" fillId="6" borderId="10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59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/>
    </xf>
    <xf numFmtId="176" fontId="0" fillId="35" borderId="0" xfId="0" applyNumberFormat="1" applyFill="1" applyAlignment="1">
      <alignment horizontal="center" vertical="center"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2" fillId="41" borderId="10" xfId="0" applyNumberFormat="1" applyFont="1" applyFill="1" applyBorder="1" applyAlignment="1">
      <alignment horizontal="center" vertical="center" wrapText="1"/>
    </xf>
    <xf numFmtId="0" fontId="2" fillId="15" borderId="10" xfId="0" applyNumberFormat="1" applyFont="1" applyFill="1" applyBorder="1" applyAlignment="1">
      <alignment horizontal="center" vertical="center" wrapText="1"/>
    </xf>
    <xf numFmtId="0" fontId="2" fillId="17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0" fontId="0" fillId="35" borderId="0" xfId="0" applyNumberForma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1" fillId="35" borderId="0" xfId="0" applyFont="1" applyFill="1" applyAlignment="1">
      <alignment wrapText="1"/>
    </xf>
    <xf numFmtId="176" fontId="3" fillId="35" borderId="0" xfId="0" applyNumberFormat="1" applyFont="1" applyFill="1" applyAlignment="1">
      <alignment horizontal="center" vertical="center"/>
    </xf>
    <xf numFmtId="176" fontId="58" fillId="38" borderId="10" xfId="0" applyNumberFormat="1" applyFont="1" applyFill="1" applyBorder="1" applyAlignment="1">
      <alignment horizontal="center" vertical="center"/>
    </xf>
    <xf numFmtId="176" fontId="2" fillId="38" borderId="10" xfId="0" applyNumberFormat="1" applyFont="1" applyFill="1" applyBorder="1" applyAlignment="1">
      <alignment horizontal="center" vertical="center"/>
    </xf>
    <xf numFmtId="177" fontId="2" fillId="35" borderId="10" xfId="0" applyNumberFormat="1" applyFont="1" applyFill="1" applyBorder="1" applyAlignment="1">
      <alignment horizontal="center" vertical="center" wrapText="1"/>
    </xf>
    <xf numFmtId="178" fontId="1" fillId="35" borderId="10" xfId="0" applyNumberFormat="1" applyFont="1" applyFill="1" applyBorder="1" applyAlignment="1">
      <alignment vertical="center" wrapText="1"/>
    </xf>
    <xf numFmtId="178" fontId="2" fillId="35" borderId="10" xfId="0" applyNumberFormat="1" applyFont="1" applyFill="1" applyBorder="1" applyAlignment="1">
      <alignment vertical="center"/>
    </xf>
    <xf numFmtId="178" fontId="2" fillId="6" borderId="10" xfId="0" applyNumberFormat="1" applyFont="1" applyFill="1" applyBorder="1" applyAlignment="1">
      <alignment vertical="center" wrapText="1"/>
    </xf>
    <xf numFmtId="178" fontId="2" fillId="6" borderId="10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horizontal="center" vertical="center" wrapText="1"/>
    </xf>
    <xf numFmtId="176" fontId="2" fillId="6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176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vertical="center"/>
    </xf>
    <xf numFmtId="176" fontId="2" fillId="35" borderId="10" xfId="0" applyNumberFormat="1" applyFont="1" applyFill="1" applyBorder="1" applyAlignment="1">
      <alignment horizontal="center" vertical="center" wrapText="1"/>
    </xf>
    <xf numFmtId="176" fontId="60" fillId="35" borderId="12" xfId="0" applyNumberFormat="1" applyFont="1" applyFill="1" applyBorder="1" applyAlignment="1">
      <alignment vertical="center" wrapText="1"/>
    </xf>
    <xf numFmtId="6" fontId="60" fillId="0" borderId="12" xfId="0" applyNumberFormat="1" applyFont="1" applyBorder="1" applyAlignment="1">
      <alignment vertical="center" wrapText="1"/>
    </xf>
    <xf numFmtId="176" fontId="2" fillId="35" borderId="11" xfId="0" applyNumberFormat="1" applyFont="1" applyFill="1" applyBorder="1" applyAlignment="1">
      <alignment vertical="center" wrapText="1"/>
    </xf>
    <xf numFmtId="176" fontId="2" fillId="35" borderId="13" xfId="0" applyNumberFormat="1" applyFont="1" applyFill="1" applyBorder="1" applyAlignment="1">
      <alignment vertical="center" wrapText="1"/>
    </xf>
    <xf numFmtId="176" fontId="2" fillId="35" borderId="14" xfId="0" applyNumberFormat="1" applyFont="1" applyFill="1" applyBorder="1" applyAlignment="1">
      <alignment vertical="center" wrapText="1"/>
    </xf>
    <xf numFmtId="0" fontId="61" fillId="5" borderId="15" xfId="0" applyFont="1" applyFill="1" applyBorder="1" applyAlignment="1">
      <alignment horizontal="center" vertical="center" wrapText="1"/>
    </xf>
    <xf numFmtId="176" fontId="61" fillId="5" borderId="12" xfId="0" applyNumberFormat="1" applyFont="1" applyFill="1" applyBorder="1" applyAlignment="1">
      <alignment horizontal="center" vertical="center" wrapText="1"/>
    </xf>
    <xf numFmtId="0" fontId="57" fillId="35" borderId="10" xfId="0" applyNumberFormat="1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center" vertical="center" wrapText="1"/>
    </xf>
    <xf numFmtId="176" fontId="0" fillId="35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76" fontId="2" fillId="35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176" fontId="2" fillId="6" borderId="1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2" fillId="6" borderId="18" xfId="0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76" fontId="2" fillId="18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55" fillId="5" borderId="11" xfId="0" applyFont="1" applyFill="1" applyBorder="1" applyAlignment="1">
      <alignment horizontal="center" vertical="center" wrapText="1"/>
    </xf>
    <xf numFmtId="0" fontId="55" fillId="5" borderId="14" xfId="0" applyFont="1" applyFill="1" applyBorder="1" applyAlignment="1">
      <alignment horizontal="center" vertical="center" wrapText="1"/>
    </xf>
    <xf numFmtId="0" fontId="55" fillId="5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76" fontId="2" fillId="41" borderId="11" xfId="0" applyNumberFormat="1" applyFont="1" applyFill="1" applyBorder="1" applyAlignment="1">
      <alignment horizontal="center" vertical="center" wrapText="1"/>
    </xf>
    <xf numFmtId="176" fontId="2" fillId="41" borderId="14" xfId="0" applyNumberFormat="1" applyFont="1" applyFill="1" applyBorder="1" applyAlignment="1">
      <alignment horizontal="center" vertical="center" wrapText="1"/>
    </xf>
    <xf numFmtId="176" fontId="2" fillId="41" borderId="13" xfId="0" applyNumberFormat="1" applyFont="1" applyFill="1" applyBorder="1" applyAlignment="1">
      <alignment horizontal="center" vertical="center" wrapText="1"/>
    </xf>
    <xf numFmtId="176" fontId="2" fillId="35" borderId="16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76" fontId="2" fillId="38" borderId="18" xfId="0" applyNumberFormat="1" applyFont="1" applyFill="1" applyBorder="1" applyAlignment="1">
      <alignment horizontal="center" vertical="center" wrapText="1"/>
    </xf>
    <xf numFmtId="176" fontId="3" fillId="38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F2">
      <selection activeCell="X35" sqref="X35"/>
    </sheetView>
  </sheetViews>
  <sheetFormatPr defaultColWidth="9.140625" defaultRowHeight="12.75"/>
  <cols>
    <col min="1" max="1" width="8.28125" style="2" customWidth="1"/>
    <col min="2" max="2" width="5.00390625" style="2" customWidth="1"/>
    <col min="3" max="3" width="5.28125" style="2" customWidth="1"/>
    <col min="4" max="4" width="10.8515625" style="2" customWidth="1"/>
    <col min="5" max="5" width="10.7109375" style="2" customWidth="1"/>
    <col min="6" max="6" width="9.421875" style="2" customWidth="1"/>
    <col min="7" max="7" width="7.140625" style="2" customWidth="1"/>
    <col min="8" max="8" width="7.00390625" style="2" customWidth="1"/>
    <col min="9" max="9" width="8.8515625" style="2" customWidth="1"/>
    <col min="10" max="10" width="8.421875" style="2" customWidth="1"/>
    <col min="11" max="11" width="8.57421875" style="2" customWidth="1"/>
    <col min="12" max="12" width="9.7109375" style="2" customWidth="1"/>
    <col min="13" max="13" width="3.421875" style="2" customWidth="1"/>
    <col min="14" max="14" width="5.421875" style="2" customWidth="1"/>
    <col min="15" max="15" width="7.8515625" style="2" customWidth="1"/>
    <col min="16" max="16" width="8.140625" style="2" customWidth="1"/>
    <col min="17" max="17" width="4.140625" style="2" customWidth="1"/>
    <col min="18" max="18" width="3.421875" style="2" customWidth="1"/>
    <col min="19" max="19" width="8.00390625" style="2" customWidth="1"/>
    <col min="20" max="20" width="5.57421875" style="2" customWidth="1"/>
    <col min="21" max="21" width="2.8515625" style="2" customWidth="1"/>
    <col min="22" max="22" width="6.8515625" style="2" customWidth="1"/>
    <col min="23" max="23" width="4.00390625" style="2" customWidth="1"/>
    <col min="24" max="24" width="2.57421875" style="2" customWidth="1"/>
    <col min="25" max="25" width="7.140625" style="2" customWidth="1"/>
    <col min="26" max="26" width="8.7109375" style="2" customWidth="1"/>
    <col min="27" max="27" width="7.00390625" style="2" customWidth="1"/>
    <col min="28" max="28" width="8.57421875" style="2" customWidth="1"/>
    <col min="29" max="29" width="3.140625" style="2" customWidth="1"/>
    <col min="30" max="30" width="10.28125" style="2" customWidth="1"/>
    <col min="31" max="31" width="5.421875" style="2" customWidth="1"/>
    <col min="32" max="16384" width="9.140625" style="2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2" s="37" customFormat="1" ht="12.75">
      <c r="A3" s="35"/>
      <c r="B3" s="6"/>
      <c r="C3" s="6"/>
      <c r="D3" s="6"/>
      <c r="E3" s="6"/>
      <c r="F3" s="6"/>
      <c r="G3" s="3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2.75">
      <c r="A4" s="3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  <c r="AC4" s="1"/>
      <c r="AD4" s="1"/>
      <c r="AE4" s="1"/>
      <c r="AF4" s="1"/>
    </row>
    <row r="5" spans="1:32" s="37" customFormat="1" ht="12.75" hidden="1">
      <c r="A5" s="6"/>
      <c r="B5" s="6"/>
      <c r="C5" s="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"/>
      <c r="AF5" s="10"/>
    </row>
    <row r="6" spans="1:32" ht="12.75" hidden="1">
      <c r="A6" s="2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E6" s="11"/>
      <c r="AF6" s="11"/>
    </row>
    <row r="7" spans="1:32" ht="12.75">
      <c r="A7" s="21"/>
      <c r="C7" s="6"/>
      <c r="D7" s="38"/>
      <c r="E7" s="38"/>
      <c r="F7" s="10"/>
      <c r="G7" s="1"/>
      <c r="H7" s="1"/>
      <c r="I7" s="35"/>
      <c r="J7" s="1"/>
      <c r="K7" s="13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X7" s="1"/>
      <c r="Y7" s="1"/>
      <c r="Z7" s="10"/>
      <c r="AA7" s="11"/>
      <c r="AB7" s="13"/>
      <c r="AC7" s="1"/>
      <c r="AD7" s="13"/>
      <c r="AE7" s="1"/>
      <c r="AF7" s="10"/>
    </row>
    <row r="8" spans="1:32" ht="12.75">
      <c r="A8" s="6"/>
      <c r="B8" s="1"/>
      <c r="C8" s="1"/>
      <c r="D8" s="38"/>
      <c r="E8" s="38"/>
      <c r="F8" s="10"/>
      <c r="G8" s="1"/>
      <c r="H8" s="1"/>
      <c r="I8" s="1"/>
      <c r="J8" s="1"/>
      <c r="K8" s="13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0"/>
      <c r="AA8" s="1"/>
      <c r="AB8" s="1"/>
      <c r="AC8" s="1"/>
      <c r="AD8" s="13"/>
      <c r="AE8" s="1"/>
      <c r="AF8" s="10"/>
    </row>
    <row r="9" spans="1:32" ht="12.75">
      <c r="A9" s="6"/>
      <c r="B9" s="1"/>
      <c r="C9" s="1"/>
      <c r="D9" s="38"/>
      <c r="E9" s="38"/>
      <c r="F9" s="10"/>
      <c r="G9" s="1"/>
      <c r="H9" s="1"/>
      <c r="I9" s="1"/>
      <c r="J9" s="1"/>
      <c r="K9" s="13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0"/>
      <c r="AA9" s="1"/>
      <c r="AB9" s="1"/>
      <c r="AC9" s="1"/>
      <c r="AD9" s="13"/>
      <c r="AE9" s="1"/>
      <c r="AF9" s="10"/>
    </row>
    <row r="10" spans="1:32" ht="12.75">
      <c r="A10" s="6"/>
      <c r="B10" s="1"/>
      <c r="C10" s="1"/>
      <c r="D10" s="38"/>
      <c r="E10" s="38"/>
      <c r="F10" s="10"/>
      <c r="G10" s="1"/>
      <c r="H10" s="1"/>
      <c r="I10" s="1"/>
      <c r="J10" s="1"/>
      <c r="K10" s="13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0"/>
      <c r="AA10" s="1"/>
      <c r="AB10" s="1"/>
      <c r="AC10" s="1"/>
      <c r="AD10" s="13"/>
      <c r="AE10" s="1"/>
      <c r="AF10" s="10"/>
    </row>
    <row r="11" spans="1:32" ht="12.75">
      <c r="A11" s="21"/>
      <c r="B11" s="11"/>
      <c r="C11" s="11"/>
      <c r="D11" s="12"/>
      <c r="E11" s="12"/>
      <c r="F11" s="11"/>
      <c r="G11" s="11"/>
      <c r="H11" s="11"/>
      <c r="I11" s="11"/>
      <c r="J11" s="11"/>
      <c r="K11" s="39"/>
      <c r="L11" s="3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9"/>
      <c r="AA11" s="11"/>
      <c r="AB11" s="24"/>
      <c r="AC11" s="11"/>
      <c r="AD11" s="11"/>
      <c r="AE11" s="11"/>
      <c r="AF11" s="11"/>
    </row>
    <row r="12" spans="1:32" s="37" customFormat="1" ht="12.75">
      <c r="A12" s="6"/>
      <c r="B12" s="6"/>
      <c r="C12" s="6"/>
      <c r="D12" s="38"/>
      <c r="E12" s="38"/>
      <c r="F12" s="10"/>
      <c r="G12" s="10"/>
      <c r="H12" s="10"/>
      <c r="I12" s="35"/>
      <c r="J12" s="10"/>
      <c r="K12" s="10"/>
      <c r="L12" s="10"/>
      <c r="M12" s="10"/>
      <c r="N12" s="1"/>
      <c r="O12" s="10"/>
      <c r="P12" s="10"/>
      <c r="Q12" s="10"/>
      <c r="R12" s="1"/>
      <c r="S12" s="10"/>
      <c r="T12" s="10"/>
      <c r="U12" s="1"/>
      <c r="V12" s="10"/>
      <c r="W12" s="6"/>
      <c r="X12" s="1"/>
      <c r="Y12" s="1"/>
      <c r="Z12" s="10"/>
      <c r="AA12" s="10"/>
      <c r="AB12" s="10"/>
      <c r="AC12" s="10"/>
      <c r="AD12" s="10"/>
      <c r="AE12" s="6"/>
      <c r="AF12" s="10"/>
    </row>
    <row r="13" spans="1:32" ht="12.75">
      <c r="A13" s="6"/>
      <c r="B13" s="1"/>
      <c r="C13" s="1"/>
      <c r="D13" s="38"/>
      <c r="E13" s="38"/>
      <c r="F13" s="10"/>
      <c r="G13" s="1"/>
      <c r="H13" s="1"/>
      <c r="I13" s="35"/>
      <c r="J13" s="1"/>
      <c r="K13" s="13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0"/>
      <c r="AA13" s="1"/>
      <c r="AB13" s="10"/>
      <c r="AC13" s="1"/>
      <c r="AD13" s="13"/>
      <c r="AE13" s="1"/>
      <c r="AF13" s="13"/>
    </row>
    <row r="14" spans="1:32" ht="12.75">
      <c r="A14" s="6"/>
      <c r="B14" s="1"/>
      <c r="C14" s="1"/>
      <c r="D14" s="38"/>
      <c r="E14" s="38"/>
      <c r="F14" s="10"/>
      <c r="G14" s="1"/>
      <c r="H14" s="1"/>
      <c r="I14" s="35"/>
      <c r="J14" s="13"/>
      <c r="K14" s="13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0"/>
      <c r="AA14" s="1"/>
      <c r="AB14" s="10"/>
      <c r="AC14" s="1"/>
      <c r="AD14" s="13"/>
      <c r="AE14" s="1"/>
      <c r="AF14" s="13"/>
    </row>
    <row r="15" spans="1:32" ht="12.75">
      <c r="A15" s="6"/>
      <c r="B15" s="1"/>
      <c r="C15" s="1"/>
      <c r="D15" s="38"/>
      <c r="E15" s="38"/>
      <c r="F15" s="10"/>
      <c r="G15" s="1"/>
      <c r="H15" s="1"/>
      <c r="I15" s="35"/>
      <c r="J15" s="13"/>
      <c r="K15" s="13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0"/>
      <c r="AA15" s="1"/>
      <c r="AB15" s="10"/>
      <c r="AC15" s="1"/>
      <c r="AD15" s="13"/>
      <c r="AE15" s="1"/>
      <c r="AF15" s="13"/>
    </row>
    <row r="16" spans="1:32" ht="12.75">
      <c r="A16" s="6"/>
      <c r="B16" s="1"/>
      <c r="C16" s="1"/>
      <c r="D16" s="38"/>
      <c r="E16" s="38"/>
      <c r="F16" s="10"/>
      <c r="G16" s="1"/>
      <c r="H16" s="1"/>
      <c r="I16" s="35"/>
      <c r="J16" s="13"/>
      <c r="K16" s="13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0"/>
      <c r="AA16" s="1"/>
      <c r="AB16" s="10"/>
      <c r="AC16" s="1"/>
      <c r="AD16" s="13"/>
      <c r="AE16" s="1"/>
      <c r="AF16" s="13"/>
    </row>
    <row r="17" spans="1:32" ht="12.75">
      <c r="A17" s="6"/>
      <c r="B17" s="1"/>
      <c r="C17" s="1"/>
      <c r="D17" s="38"/>
      <c r="E17" s="38"/>
      <c r="F17" s="10"/>
      <c r="G17" s="1"/>
      <c r="H17" s="1"/>
      <c r="I17" s="35"/>
      <c r="J17" s="13"/>
      <c r="K17" s="13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0"/>
      <c r="AA17" s="1"/>
      <c r="AB17" s="10"/>
      <c r="AC17" s="1"/>
      <c r="AD17" s="13"/>
      <c r="AE17" s="1"/>
      <c r="AF17" s="13"/>
    </row>
    <row r="18" spans="1:32" ht="12.75">
      <c r="A18" s="6"/>
      <c r="B18" s="1"/>
      <c r="C18" s="1"/>
      <c r="D18" s="38"/>
      <c r="E18" s="38"/>
      <c r="F18" s="10"/>
      <c r="G18" s="1"/>
      <c r="H18" s="1"/>
      <c r="I18" s="35"/>
      <c r="J18" s="13"/>
      <c r="K18" s="13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0"/>
      <c r="AA18" s="1"/>
      <c r="AB18" s="10"/>
      <c r="AC18" s="1"/>
      <c r="AD18" s="13"/>
      <c r="AE18" s="1"/>
      <c r="AF18" s="13"/>
    </row>
    <row r="19" spans="1:32" ht="12.75">
      <c r="A19" s="6"/>
      <c r="B19" s="1"/>
      <c r="C19" s="1"/>
      <c r="D19" s="38"/>
      <c r="E19" s="38"/>
      <c r="F19" s="10"/>
      <c r="G19" s="1"/>
      <c r="H19" s="1"/>
      <c r="I19" s="35"/>
      <c r="J19" s="13"/>
      <c r="K19" s="13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0"/>
      <c r="AA19" s="1"/>
      <c r="AB19" s="10"/>
      <c r="AC19" s="1"/>
      <c r="AD19" s="1"/>
      <c r="AE19" s="1"/>
      <c r="AF19" s="1"/>
    </row>
    <row r="20" spans="1:32" ht="12.75">
      <c r="A20" s="6"/>
      <c r="B20" s="1"/>
      <c r="C20" s="1"/>
      <c r="D20" s="38"/>
      <c r="E20" s="38"/>
      <c r="F20" s="10"/>
      <c r="G20" s="1"/>
      <c r="H20" s="1"/>
      <c r="I20" s="35"/>
      <c r="J20" s="13"/>
      <c r="K20" s="13"/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0"/>
      <c r="AA20" s="1"/>
      <c r="AB20" s="10"/>
      <c r="AC20" s="1"/>
      <c r="AD20" s="1"/>
      <c r="AE20" s="1"/>
      <c r="AF20" s="1"/>
    </row>
    <row r="21" spans="1:32" ht="12.75">
      <c r="A21" s="37"/>
      <c r="D21" s="40"/>
      <c r="E21" s="40"/>
      <c r="F21" s="5"/>
      <c r="G21" s="5"/>
      <c r="H21" s="13"/>
      <c r="I21" s="5"/>
      <c r="K21" s="5"/>
      <c r="L21" s="10"/>
      <c r="M21" s="10"/>
      <c r="N21" s="10"/>
      <c r="O21" s="10"/>
      <c r="S21" s="5"/>
      <c r="T21" s="5"/>
      <c r="U21" s="5"/>
      <c r="V21" s="5"/>
      <c r="W21" s="5"/>
      <c r="X21" s="5"/>
      <c r="Y21" s="5"/>
      <c r="Z21" s="5"/>
      <c r="AA21" s="5"/>
      <c r="AB21" s="5"/>
      <c r="AD21" s="14"/>
      <c r="AF21" s="13"/>
    </row>
    <row r="22" spans="1:9" ht="12" customHeight="1" hidden="1">
      <c r="A22" s="41"/>
      <c r="D22" s="10"/>
      <c r="E22" s="10"/>
      <c r="F22" s="10"/>
      <c r="I22" s="10"/>
    </row>
    <row r="23" spans="1:30" ht="15" customHeight="1">
      <c r="A23" s="199"/>
      <c r="B23" s="1"/>
      <c r="D23" s="5"/>
      <c r="E23" s="5"/>
      <c r="F23" s="5"/>
      <c r="G23" s="1"/>
      <c r="I23" s="16"/>
      <c r="J23" s="1"/>
      <c r="K23" s="13"/>
      <c r="L23" s="5"/>
      <c r="Z23" s="5"/>
      <c r="AB23" s="5"/>
      <c r="AD23" s="5"/>
    </row>
    <row r="24" spans="1:21" ht="12.75" customHeight="1">
      <c r="A24" s="199"/>
      <c r="G24" s="1"/>
      <c r="K24" s="17"/>
      <c r="S24" s="15"/>
      <c r="T24" s="15"/>
      <c r="U24" s="15"/>
    </row>
    <row r="25" spans="2:26" ht="12.75">
      <c r="B25" s="200"/>
      <c r="C25" s="200"/>
      <c r="D25" s="21"/>
      <c r="E25" s="21"/>
      <c r="F25" s="21"/>
      <c r="G25" s="21"/>
      <c r="H25" s="21"/>
      <c r="I25" s="21"/>
      <c r="J25" s="6"/>
      <c r="K25" s="1"/>
      <c r="L25" s="21"/>
      <c r="M25" s="201"/>
      <c r="N25" s="201"/>
      <c r="O25" s="37"/>
      <c r="P25" s="37"/>
      <c r="Y25" s="6"/>
      <c r="Z25" s="7"/>
    </row>
    <row r="26" spans="1:26" ht="12.75">
      <c r="A26" s="34"/>
      <c r="B26" s="197"/>
      <c r="C26" s="197"/>
      <c r="D26" s="1"/>
      <c r="E26" s="13"/>
      <c r="F26" s="1"/>
      <c r="G26" s="1"/>
      <c r="H26" s="1"/>
      <c r="I26" s="22"/>
      <c r="J26" s="5"/>
      <c r="K26" s="34"/>
      <c r="L26" s="13"/>
      <c r="M26" s="198"/>
      <c r="N26" s="198"/>
      <c r="Y26" s="6"/>
      <c r="Z26" s="8"/>
    </row>
    <row r="27" spans="1:26" ht="12.75">
      <c r="A27" s="34"/>
      <c r="B27" s="197"/>
      <c r="C27" s="197"/>
      <c r="D27" s="6"/>
      <c r="E27" s="13"/>
      <c r="G27" s="1"/>
      <c r="H27" s="1"/>
      <c r="I27" s="23"/>
      <c r="J27" s="5"/>
      <c r="K27" s="34"/>
      <c r="L27" s="13"/>
      <c r="M27" s="198"/>
      <c r="N27" s="198"/>
      <c r="Z27" s="9"/>
    </row>
    <row r="28" spans="1:14" ht="12.75">
      <c r="A28" s="34"/>
      <c r="B28" s="197"/>
      <c r="C28" s="197"/>
      <c r="D28" s="6"/>
      <c r="E28" s="13"/>
      <c r="F28" s="13"/>
      <c r="G28" s="1"/>
      <c r="H28" s="1"/>
      <c r="I28" s="23"/>
      <c r="J28" s="5"/>
      <c r="K28" s="34"/>
      <c r="L28" s="13"/>
      <c r="M28" s="198"/>
      <c r="N28" s="198"/>
    </row>
    <row r="29" spans="1:26" ht="12.75">
      <c r="A29" s="34"/>
      <c r="B29" s="197"/>
      <c r="C29" s="197"/>
      <c r="D29" s="6"/>
      <c r="E29" s="13"/>
      <c r="F29" s="13"/>
      <c r="G29" s="1"/>
      <c r="H29" s="1"/>
      <c r="I29" s="23"/>
      <c r="J29" s="5"/>
      <c r="K29" s="34"/>
      <c r="L29" s="13"/>
      <c r="M29" s="198"/>
      <c r="N29" s="198"/>
      <c r="Z29" s="9"/>
    </row>
    <row r="30" spans="1:14" ht="12.75">
      <c r="A30" s="34"/>
      <c r="B30" s="197"/>
      <c r="C30" s="197"/>
      <c r="D30" s="6"/>
      <c r="E30" s="13"/>
      <c r="F30" s="13"/>
      <c r="G30" s="1"/>
      <c r="H30" s="1"/>
      <c r="I30" s="23"/>
      <c r="J30" s="5"/>
      <c r="K30" s="34"/>
      <c r="L30" s="13"/>
      <c r="M30" s="198"/>
      <c r="N30" s="198"/>
    </row>
    <row r="31" spans="1:14" ht="12.75">
      <c r="A31" s="34"/>
      <c r="B31" s="197"/>
      <c r="C31" s="197"/>
      <c r="D31" s="6"/>
      <c r="E31" s="13"/>
      <c r="F31" s="13"/>
      <c r="G31" s="1"/>
      <c r="H31" s="1"/>
      <c r="I31" s="23"/>
      <c r="J31" s="5"/>
      <c r="K31" s="34"/>
      <c r="L31" s="13"/>
      <c r="M31" s="198"/>
      <c r="N31" s="198"/>
    </row>
    <row r="32" spans="1:14" ht="12.75">
      <c r="A32" s="34"/>
      <c r="B32" s="197"/>
      <c r="C32" s="197"/>
      <c r="D32" s="6"/>
      <c r="E32" s="13"/>
      <c r="F32" s="13"/>
      <c r="G32" s="1"/>
      <c r="H32" s="1"/>
      <c r="I32" s="23"/>
      <c r="J32" s="5"/>
      <c r="K32" s="34"/>
      <c r="L32" s="13"/>
      <c r="M32" s="198"/>
      <c r="N32" s="198"/>
    </row>
    <row r="33" spans="1:14" ht="12.75">
      <c r="A33" s="34"/>
      <c r="B33" s="197"/>
      <c r="C33" s="197"/>
      <c r="D33" s="6"/>
      <c r="E33" s="13"/>
      <c r="F33" s="13"/>
      <c r="G33" s="1"/>
      <c r="H33" s="1"/>
      <c r="I33" s="23"/>
      <c r="J33" s="5"/>
      <c r="K33" s="34"/>
      <c r="L33" s="13"/>
      <c r="M33" s="198"/>
      <c r="N33" s="198"/>
    </row>
    <row r="34" spans="1:14" ht="12.75">
      <c r="A34" s="34"/>
      <c r="B34" s="197"/>
      <c r="C34" s="197"/>
      <c r="D34" s="6"/>
      <c r="E34" s="13"/>
      <c r="F34" s="13"/>
      <c r="G34" s="1"/>
      <c r="H34" s="1"/>
      <c r="I34" s="23"/>
      <c r="J34" s="5"/>
      <c r="K34" s="34"/>
      <c r="L34" s="13"/>
      <c r="M34" s="198"/>
      <c r="N34" s="198"/>
    </row>
    <row r="35" spans="1:14" ht="12.75">
      <c r="A35" s="34"/>
      <c r="B35" s="197"/>
      <c r="C35" s="197"/>
      <c r="D35" s="6"/>
      <c r="E35" s="13"/>
      <c r="F35" s="13"/>
      <c r="G35" s="1"/>
      <c r="H35" s="1"/>
      <c r="I35" s="23"/>
      <c r="J35" s="5"/>
      <c r="K35" s="34"/>
      <c r="L35" s="13"/>
      <c r="M35" s="198"/>
      <c r="N35" s="198"/>
    </row>
    <row r="36" spans="1:14" ht="12.75">
      <c r="A36" s="20"/>
      <c r="B36" s="197"/>
      <c r="C36" s="198"/>
      <c r="D36" s="13"/>
      <c r="E36" s="13"/>
      <c r="F36" s="1"/>
      <c r="G36" s="1"/>
      <c r="H36" s="1"/>
      <c r="I36" s="1"/>
      <c r="L36" s="13"/>
      <c r="M36" s="198"/>
      <c r="N36" s="198"/>
    </row>
    <row r="37" spans="1:8" ht="12.75">
      <c r="A37" s="20"/>
      <c r="H37" s="1"/>
    </row>
  </sheetData>
  <sheetProtection/>
  <mergeCells count="25">
    <mergeCell ref="B31:C31"/>
    <mergeCell ref="M34:N34"/>
    <mergeCell ref="M35:N35"/>
    <mergeCell ref="B32:C32"/>
    <mergeCell ref="B33:C33"/>
    <mergeCell ref="B29:C29"/>
    <mergeCell ref="B30:C30"/>
    <mergeCell ref="M36:N36"/>
    <mergeCell ref="M25:N25"/>
    <mergeCell ref="M26:N26"/>
    <mergeCell ref="M27:N27"/>
    <mergeCell ref="M28:N28"/>
    <mergeCell ref="M29:N29"/>
    <mergeCell ref="M30:N30"/>
    <mergeCell ref="M31:N31"/>
    <mergeCell ref="B36:C36"/>
    <mergeCell ref="B34:C34"/>
    <mergeCell ref="B35:C35"/>
    <mergeCell ref="M32:N32"/>
    <mergeCell ref="M33:N33"/>
    <mergeCell ref="A23:A24"/>
    <mergeCell ref="B25:C25"/>
    <mergeCell ref="B26:C26"/>
    <mergeCell ref="B27:C27"/>
    <mergeCell ref="B28:C28"/>
  </mergeCells>
  <printOptions/>
  <pageMargins left="0.75" right="0.75" top="0.63" bottom="0.28" header="0" footer="0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24"/>
  <sheetViews>
    <sheetView tabSelected="1" zoomScale="130" zoomScaleNormal="130" zoomScalePageLayoutView="0" workbookViewId="0" topLeftCell="A1">
      <pane xSplit="2" ySplit="4" topLeftCell="BV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T17" sqref="AT17"/>
    </sheetView>
  </sheetViews>
  <sheetFormatPr defaultColWidth="9.140625" defaultRowHeight="12.75"/>
  <cols>
    <col min="1" max="1" width="3.140625" style="120" customWidth="1"/>
    <col min="2" max="2" width="22.00390625" style="131" customWidth="1"/>
    <col min="3" max="3" width="4.28125" style="120" customWidth="1"/>
    <col min="4" max="4" width="9.28125" style="121" bestFit="1" customWidth="1"/>
    <col min="5" max="5" width="10.140625" style="121" bestFit="1" customWidth="1"/>
    <col min="6" max="6" width="11.8515625" style="121" customWidth="1"/>
    <col min="7" max="7" width="4.28125" style="133" customWidth="1"/>
    <col min="8" max="8" width="11.7109375" style="121" customWidth="1"/>
    <col min="9" max="9" width="12.7109375" style="121" customWidth="1"/>
    <col min="10" max="10" width="4.28125" style="133" customWidth="1"/>
    <col min="11" max="11" width="11.7109375" style="121" customWidth="1"/>
    <col min="12" max="12" width="11.7109375" style="120" customWidth="1"/>
    <col min="13" max="13" width="4.28125" style="133" customWidth="1"/>
    <col min="14" max="14" width="10.57421875" style="133" customWidth="1"/>
    <col min="15" max="15" width="12.8515625" style="120" customWidth="1"/>
    <col min="16" max="16" width="4.28125" style="133" customWidth="1"/>
    <col min="17" max="17" width="11.7109375" style="133" customWidth="1"/>
    <col min="18" max="18" width="12.8515625" style="120" customWidth="1"/>
    <col min="19" max="19" width="4.28125" style="120" customWidth="1"/>
    <col min="20" max="20" width="11.7109375" style="134" customWidth="1"/>
    <col min="21" max="21" width="11.7109375" style="135" customWidth="1"/>
    <col min="22" max="22" width="4.28125" style="120" customWidth="1"/>
    <col min="23" max="24" width="11.7109375" style="135" customWidth="1"/>
    <col min="25" max="25" width="4.28125" style="121" customWidth="1"/>
    <col min="26" max="26" width="9.7109375" style="135" customWidth="1"/>
    <col min="27" max="27" width="11.7109375" style="136" customWidth="1"/>
    <col min="28" max="28" width="4.28125" style="120" customWidth="1"/>
    <col min="29" max="29" width="9.7109375" style="135" customWidth="1"/>
    <col min="30" max="30" width="11.7109375" style="136" customWidth="1"/>
    <col min="31" max="31" width="11.7109375" style="135" customWidth="1"/>
    <col min="32" max="32" width="11.7109375" style="136" customWidth="1"/>
    <col min="33" max="33" width="4.421875" style="120" customWidth="1"/>
    <col min="34" max="34" width="11.7109375" style="136" customWidth="1"/>
    <col min="35" max="35" width="4.28125" style="137" customWidth="1"/>
    <col min="36" max="36" width="11.7109375" style="136" customWidth="1"/>
    <col min="37" max="37" width="11.7109375" style="135" customWidth="1"/>
    <col min="38" max="38" width="11.7109375" style="136" customWidth="1"/>
    <col min="39" max="39" width="8.7109375" style="138" customWidth="1"/>
    <col min="40" max="40" width="11.7109375" style="136" customWidth="1"/>
    <col min="41" max="41" width="12.421875" style="135" bestFit="1" customWidth="1"/>
    <col min="42" max="42" width="11.7109375" style="135" customWidth="1"/>
    <col min="43" max="43" width="12.7109375" style="135" bestFit="1" customWidth="1"/>
    <col min="44" max="44" width="12.8515625" style="135" customWidth="1"/>
    <col min="45" max="45" width="9.7109375" style="120" customWidth="1"/>
    <col min="46" max="46" width="5.57421875" style="120" customWidth="1"/>
    <col min="47" max="47" width="14.421875" style="121" customWidth="1"/>
    <col min="48" max="48" width="4.28125" style="120" customWidth="1"/>
    <col min="49" max="49" width="9.7109375" style="135" customWidth="1"/>
    <col min="50" max="50" width="11.7109375" style="135" customWidth="1"/>
    <col min="51" max="51" width="4.28125" style="120" customWidth="1"/>
    <col min="52" max="52" width="9.7109375" style="135" customWidth="1"/>
    <col min="53" max="54" width="11.7109375" style="135" customWidth="1"/>
    <col min="55" max="56" width="11.7109375" style="121" customWidth="1"/>
    <col min="57" max="57" width="4.28125" style="133" customWidth="1"/>
    <col min="58" max="58" width="8.421875" style="139" customWidth="1"/>
    <col min="59" max="59" width="11.28125" style="139" customWidth="1"/>
    <col min="60" max="60" width="4.57421875" style="139" customWidth="1"/>
    <col min="61" max="61" width="9.7109375" style="139" customWidth="1"/>
    <col min="62" max="62" width="10.00390625" style="139" customWidth="1"/>
    <col min="63" max="63" width="4.28125" style="140" customWidth="1"/>
    <col min="64" max="64" width="11.7109375" style="139" customWidth="1"/>
    <col min="65" max="65" width="5.57421875" style="140" customWidth="1"/>
    <col min="66" max="67" width="11.7109375" style="135" customWidth="1"/>
    <col min="68" max="68" width="4.28125" style="121" customWidth="1"/>
    <col min="69" max="69" width="8.7109375" style="135" customWidth="1"/>
    <col min="70" max="70" width="10.28125" style="135" bestFit="1" customWidth="1"/>
    <col min="71" max="71" width="6.140625" style="120" bestFit="1" customWidth="1"/>
    <col min="72" max="72" width="10.28125" style="135" bestFit="1" customWidth="1"/>
    <col min="73" max="73" width="8.7109375" style="135" customWidth="1"/>
    <col min="74" max="74" width="12.421875" style="135" bestFit="1" customWidth="1"/>
    <col min="75" max="75" width="6.140625" style="138" customWidth="1"/>
    <col min="76" max="76" width="8.7109375" style="135" customWidth="1"/>
    <col min="77" max="77" width="11.7109375" style="135" customWidth="1"/>
    <col min="78" max="78" width="6.140625" style="141" customWidth="1"/>
    <col min="79" max="79" width="8.7109375" style="142" customWidth="1"/>
    <col min="80" max="80" width="6.140625" style="141" customWidth="1"/>
    <col min="81" max="81" width="8.7109375" style="142" customWidth="1"/>
    <col min="82" max="82" width="11.7109375" style="142" customWidth="1"/>
    <col min="83" max="84" width="11.7109375" style="135" customWidth="1"/>
    <col min="85" max="85" width="4.57421875" style="141" customWidth="1"/>
    <col min="86" max="88" width="7.28125" style="142" customWidth="1"/>
    <col min="89" max="89" width="17.28125" style="142" customWidth="1"/>
    <col min="90" max="90" width="25.28125" style="135" customWidth="1"/>
    <col min="91" max="16384" width="9.140625" style="121" customWidth="1"/>
  </cols>
  <sheetData>
    <row r="1" spans="1:90" ht="20.25" customHeight="1">
      <c r="A1" s="60"/>
      <c r="B1" s="209" t="s">
        <v>121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1"/>
      <c r="CG1" s="121"/>
      <c r="CH1" s="121"/>
      <c r="CI1" s="121"/>
      <c r="CJ1" s="121"/>
      <c r="CK1" s="121"/>
      <c r="CL1" s="121"/>
    </row>
    <row r="2" spans="1:90" ht="33.75" customHeight="1">
      <c r="A2" s="143"/>
      <c r="B2" s="122"/>
      <c r="C2" s="122"/>
      <c r="D2" s="122"/>
      <c r="E2" s="122"/>
      <c r="F2" s="122"/>
      <c r="G2" s="123"/>
      <c r="H2" s="123"/>
      <c r="I2" s="195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  <c r="AF2" s="123"/>
      <c r="AG2" s="123"/>
      <c r="AH2" s="122"/>
      <c r="AI2" s="123"/>
      <c r="AJ2" s="123"/>
      <c r="AK2" s="124"/>
      <c r="AL2" s="123"/>
      <c r="AM2" s="123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202" t="s">
        <v>28</v>
      </c>
      <c r="BL2" s="214"/>
      <c r="BM2" s="214"/>
      <c r="BN2" s="215"/>
      <c r="BO2" s="146"/>
      <c r="BP2" s="124"/>
      <c r="BQ2" s="125"/>
      <c r="BR2" s="125"/>
      <c r="BT2" s="125"/>
      <c r="BU2" s="125"/>
      <c r="BV2" s="125"/>
      <c r="BW2" s="126"/>
      <c r="BX2" s="125"/>
      <c r="BY2" s="125"/>
      <c r="BZ2" s="127"/>
      <c r="CA2" s="128"/>
      <c r="CB2" s="127"/>
      <c r="CC2" s="128"/>
      <c r="CD2" s="128"/>
      <c r="CE2" s="125"/>
      <c r="CF2" s="125"/>
      <c r="CG2" s="127"/>
      <c r="CH2" s="128"/>
      <c r="CI2" s="128"/>
      <c r="CJ2" s="128"/>
      <c r="CK2" s="128"/>
      <c r="CL2" s="125"/>
    </row>
    <row r="3" spans="1:90" s="133" customFormat="1" ht="39" customHeight="1">
      <c r="A3" s="228" t="s">
        <v>7</v>
      </c>
      <c r="B3" s="229" t="s">
        <v>0</v>
      </c>
      <c r="C3" s="205" t="s">
        <v>22</v>
      </c>
      <c r="D3" s="205" t="s">
        <v>38</v>
      </c>
      <c r="E3" s="205" t="s">
        <v>113</v>
      </c>
      <c r="F3" s="229" t="s">
        <v>43</v>
      </c>
      <c r="G3" s="230" t="s">
        <v>8</v>
      </c>
      <c r="H3" s="230"/>
      <c r="I3" s="230"/>
      <c r="J3" s="230"/>
      <c r="K3" s="230"/>
      <c r="L3" s="230"/>
      <c r="M3" s="231" t="s">
        <v>9</v>
      </c>
      <c r="N3" s="231"/>
      <c r="O3" s="231"/>
      <c r="P3" s="231"/>
      <c r="Q3" s="231"/>
      <c r="R3" s="231"/>
      <c r="S3" s="232" t="s">
        <v>10</v>
      </c>
      <c r="T3" s="232"/>
      <c r="U3" s="232"/>
      <c r="V3" s="232"/>
      <c r="W3" s="232"/>
      <c r="X3" s="232"/>
      <c r="Y3" s="237" t="s">
        <v>11</v>
      </c>
      <c r="Z3" s="238"/>
      <c r="AA3" s="238"/>
      <c r="AB3" s="238"/>
      <c r="AC3" s="238"/>
      <c r="AD3" s="238"/>
      <c r="AE3" s="203"/>
      <c r="AF3" s="204"/>
      <c r="AG3" s="222" t="s">
        <v>44</v>
      </c>
      <c r="AH3" s="223"/>
      <c r="AI3" s="223"/>
      <c r="AJ3" s="223"/>
      <c r="AK3" s="223"/>
      <c r="AL3" s="204"/>
      <c r="AM3" s="202" t="s">
        <v>48</v>
      </c>
      <c r="AN3" s="203"/>
      <c r="AO3" s="204"/>
      <c r="AP3" s="220" t="s">
        <v>49</v>
      </c>
      <c r="AQ3" s="235" t="s">
        <v>16</v>
      </c>
      <c r="AR3" s="233" t="s">
        <v>50</v>
      </c>
      <c r="AS3" s="234"/>
      <c r="AT3" s="234"/>
      <c r="AU3" s="206" t="s">
        <v>122</v>
      </c>
      <c r="AV3" s="212" t="s">
        <v>4</v>
      </c>
      <c r="AW3" s="212"/>
      <c r="AX3" s="212"/>
      <c r="AY3" s="212"/>
      <c r="AZ3" s="212"/>
      <c r="BA3" s="212"/>
      <c r="BB3" s="212"/>
      <c r="BC3" s="212"/>
      <c r="BD3" s="213"/>
      <c r="BE3" s="240" t="s">
        <v>29</v>
      </c>
      <c r="BF3" s="240"/>
      <c r="BG3" s="240"/>
      <c r="BH3" s="225" t="s">
        <v>104</v>
      </c>
      <c r="BI3" s="226"/>
      <c r="BJ3" s="227"/>
      <c r="BK3" s="216" t="s">
        <v>116</v>
      </c>
      <c r="BL3" s="217"/>
      <c r="BM3" s="218" t="s">
        <v>117</v>
      </c>
      <c r="BN3" s="219"/>
      <c r="BO3" s="144"/>
      <c r="BP3" s="241" t="s">
        <v>55</v>
      </c>
      <c r="BQ3" s="241"/>
      <c r="BR3" s="241"/>
      <c r="BS3" s="207" t="s">
        <v>24</v>
      </c>
      <c r="BT3" s="208"/>
      <c r="BU3" s="208"/>
      <c r="BV3" s="208"/>
      <c r="BW3" s="244" t="s">
        <v>27</v>
      </c>
      <c r="BX3" s="244"/>
      <c r="BY3" s="244"/>
      <c r="BZ3" s="243" t="s">
        <v>25</v>
      </c>
      <c r="CA3" s="243"/>
      <c r="CB3" s="243"/>
      <c r="CC3" s="243"/>
      <c r="CD3" s="243"/>
      <c r="CE3" s="224" t="s">
        <v>26</v>
      </c>
      <c r="CF3" s="224" t="s">
        <v>59</v>
      </c>
      <c r="CG3" s="245" t="s">
        <v>65</v>
      </c>
      <c r="CH3" s="246"/>
      <c r="CI3" s="246"/>
      <c r="CJ3" s="246"/>
      <c r="CK3" s="247"/>
      <c r="CL3" s="239" t="s">
        <v>66</v>
      </c>
    </row>
    <row r="4" spans="1:90" s="129" customFormat="1" ht="78.75">
      <c r="A4" s="228"/>
      <c r="B4" s="229"/>
      <c r="C4" s="205"/>
      <c r="D4" s="205"/>
      <c r="E4" s="205"/>
      <c r="F4" s="229"/>
      <c r="G4" s="76" t="s">
        <v>41</v>
      </c>
      <c r="H4" s="76" t="s">
        <v>12</v>
      </c>
      <c r="I4" s="96" t="s">
        <v>13</v>
      </c>
      <c r="J4" s="76" t="s">
        <v>60</v>
      </c>
      <c r="K4" s="76" t="s">
        <v>12</v>
      </c>
      <c r="L4" s="96" t="s">
        <v>13</v>
      </c>
      <c r="M4" s="77" t="s">
        <v>41</v>
      </c>
      <c r="N4" s="77" t="s">
        <v>12</v>
      </c>
      <c r="O4" s="97" t="s">
        <v>13</v>
      </c>
      <c r="P4" s="77" t="s">
        <v>40</v>
      </c>
      <c r="Q4" s="77" t="s">
        <v>12</v>
      </c>
      <c r="R4" s="97" t="s">
        <v>13</v>
      </c>
      <c r="S4" s="98" t="s">
        <v>41</v>
      </c>
      <c r="T4" s="79" t="s">
        <v>12</v>
      </c>
      <c r="U4" s="80" t="s">
        <v>13</v>
      </c>
      <c r="V4" s="98" t="s">
        <v>40</v>
      </c>
      <c r="W4" s="80" t="s">
        <v>12</v>
      </c>
      <c r="X4" s="80" t="s">
        <v>13</v>
      </c>
      <c r="Y4" s="75" t="s">
        <v>41</v>
      </c>
      <c r="Z4" s="81" t="s">
        <v>12</v>
      </c>
      <c r="AA4" s="81" t="s">
        <v>13</v>
      </c>
      <c r="AB4" s="75" t="s">
        <v>40</v>
      </c>
      <c r="AC4" s="81" t="s">
        <v>12</v>
      </c>
      <c r="AD4" s="81" t="s">
        <v>13</v>
      </c>
      <c r="AE4" s="81" t="s">
        <v>67</v>
      </c>
      <c r="AF4" s="78" t="s">
        <v>2</v>
      </c>
      <c r="AG4" s="82" t="s">
        <v>41</v>
      </c>
      <c r="AH4" s="83" t="s">
        <v>114</v>
      </c>
      <c r="AI4" s="82" t="s">
        <v>45</v>
      </c>
      <c r="AJ4" s="83" t="s">
        <v>115</v>
      </c>
      <c r="AK4" s="83" t="s">
        <v>67</v>
      </c>
      <c r="AL4" s="78" t="s">
        <v>2</v>
      </c>
      <c r="AM4" s="107" t="s">
        <v>30</v>
      </c>
      <c r="AN4" s="108" t="s">
        <v>15</v>
      </c>
      <c r="AO4" s="108" t="s">
        <v>47</v>
      </c>
      <c r="AP4" s="221"/>
      <c r="AQ4" s="236"/>
      <c r="AR4" s="173">
        <v>0.97</v>
      </c>
      <c r="AS4" s="173">
        <v>0.025</v>
      </c>
      <c r="AT4" s="173">
        <v>0.005</v>
      </c>
      <c r="AU4" s="206"/>
      <c r="AV4" s="86" t="s">
        <v>6</v>
      </c>
      <c r="AW4" s="104" t="s">
        <v>52</v>
      </c>
      <c r="AX4" s="104" t="s">
        <v>5</v>
      </c>
      <c r="AY4" s="86" t="s">
        <v>17</v>
      </c>
      <c r="AZ4" s="104" t="s">
        <v>52</v>
      </c>
      <c r="BA4" s="104" t="s">
        <v>2</v>
      </c>
      <c r="BB4" s="104" t="s">
        <v>100</v>
      </c>
      <c r="BC4" s="86" t="s">
        <v>53</v>
      </c>
      <c r="BD4" s="87" t="s">
        <v>54</v>
      </c>
      <c r="BE4" s="85" t="s">
        <v>6</v>
      </c>
      <c r="BF4" s="106" t="s">
        <v>52</v>
      </c>
      <c r="BG4" s="78" t="s">
        <v>5</v>
      </c>
      <c r="BH4" s="85" t="s">
        <v>6</v>
      </c>
      <c r="BI4" s="106" t="s">
        <v>52</v>
      </c>
      <c r="BJ4" s="184" t="s">
        <v>5</v>
      </c>
      <c r="BK4" s="107" t="s">
        <v>6</v>
      </c>
      <c r="BL4" s="108" t="s">
        <v>13</v>
      </c>
      <c r="BM4" s="107" t="s">
        <v>6</v>
      </c>
      <c r="BN4" s="108" t="s">
        <v>13</v>
      </c>
      <c r="BO4" s="78" t="s">
        <v>68</v>
      </c>
      <c r="BP4" s="86" t="s">
        <v>6</v>
      </c>
      <c r="BQ4" s="104" t="s">
        <v>52</v>
      </c>
      <c r="BR4" s="78" t="s">
        <v>5</v>
      </c>
      <c r="BS4" s="109" t="s">
        <v>6</v>
      </c>
      <c r="BT4" s="110" t="s">
        <v>52</v>
      </c>
      <c r="BU4" s="110" t="s">
        <v>56</v>
      </c>
      <c r="BV4" s="78" t="s">
        <v>5</v>
      </c>
      <c r="BW4" s="107" t="s">
        <v>6</v>
      </c>
      <c r="BX4" s="108" t="s">
        <v>56</v>
      </c>
      <c r="BY4" s="78" t="s">
        <v>5</v>
      </c>
      <c r="BZ4" s="116" t="s">
        <v>57</v>
      </c>
      <c r="CA4" s="117" t="s">
        <v>52</v>
      </c>
      <c r="CB4" s="116" t="s">
        <v>58</v>
      </c>
      <c r="CC4" s="117" t="s">
        <v>52</v>
      </c>
      <c r="CD4" s="149" t="s">
        <v>5</v>
      </c>
      <c r="CE4" s="242"/>
      <c r="CF4" s="224"/>
      <c r="CG4" s="116" t="s">
        <v>106</v>
      </c>
      <c r="CH4" s="117" t="s">
        <v>105</v>
      </c>
      <c r="CI4" s="116" t="s">
        <v>107</v>
      </c>
      <c r="CJ4" s="117" t="s">
        <v>105</v>
      </c>
      <c r="CK4" s="149" t="s">
        <v>5</v>
      </c>
      <c r="CL4" s="239"/>
    </row>
    <row r="5" spans="1:90" ht="21.75" customHeight="1">
      <c r="A5" s="60">
        <v>1</v>
      </c>
      <c r="B5" s="48" t="s">
        <v>31</v>
      </c>
      <c r="C5" s="53"/>
      <c r="D5" s="57">
        <v>0</v>
      </c>
      <c r="E5" s="59">
        <f>SUM(C5*1355)</f>
        <v>0</v>
      </c>
      <c r="F5" s="91">
        <f>SUM(D5+E5)</f>
        <v>0</v>
      </c>
      <c r="G5" s="66">
        <v>19</v>
      </c>
      <c r="H5" s="57">
        <v>2123</v>
      </c>
      <c r="I5" s="90">
        <f>G5*H5</f>
        <v>40337</v>
      </c>
      <c r="J5" s="66">
        <v>2</v>
      </c>
      <c r="K5" s="57">
        <v>10774</v>
      </c>
      <c r="L5" s="92">
        <f aca="true" t="shared" si="0" ref="L5:L14">J5*K5</f>
        <v>21548</v>
      </c>
      <c r="M5" s="66">
        <v>11</v>
      </c>
      <c r="N5" s="71">
        <v>2123</v>
      </c>
      <c r="O5" s="92">
        <f aca="true" t="shared" si="1" ref="O5:O14">M5*N5</f>
        <v>23353</v>
      </c>
      <c r="P5" s="66">
        <v>2</v>
      </c>
      <c r="Q5" s="71">
        <v>10774</v>
      </c>
      <c r="R5" s="92">
        <f>P5*Q5</f>
        <v>21548</v>
      </c>
      <c r="S5" s="53"/>
      <c r="T5" s="73"/>
      <c r="U5" s="90">
        <f>S5*T5</f>
        <v>0</v>
      </c>
      <c r="V5" s="53"/>
      <c r="W5" s="57"/>
      <c r="X5" s="90">
        <f>V5*W5</f>
        <v>0</v>
      </c>
      <c r="Y5" s="51"/>
      <c r="Z5" s="57"/>
      <c r="AA5" s="58">
        <f>Y5*Z5</f>
        <v>0</v>
      </c>
      <c r="AB5" s="50"/>
      <c r="AC5" s="57"/>
      <c r="AD5" s="58">
        <f>AB5*AC5</f>
        <v>0</v>
      </c>
      <c r="AE5" s="58">
        <f>(AA5+AD5)*0.051</f>
        <v>0</v>
      </c>
      <c r="AF5" s="147">
        <f>AA5+AD5+AE5</f>
        <v>0</v>
      </c>
      <c r="AG5" s="50"/>
      <c r="AH5" s="58">
        <f>AG5*2853</f>
        <v>0</v>
      </c>
      <c r="AI5" s="47"/>
      <c r="AJ5" s="58">
        <f>AI5*10934</f>
        <v>0</v>
      </c>
      <c r="AK5" s="57">
        <f>(AH5+AJ5)*0.051</f>
        <v>0</v>
      </c>
      <c r="AL5" s="147">
        <f>AH5+AJ5+AK5</f>
        <v>0</v>
      </c>
      <c r="AM5" s="107">
        <f aca="true" t="shared" si="2" ref="AM5:AM14">G5+M5+S5</f>
        <v>30</v>
      </c>
      <c r="AN5" s="90">
        <v>50630</v>
      </c>
      <c r="AO5" s="89">
        <f>F5+I5+L5+O5+R5+U5+X5+AN5</f>
        <v>157416</v>
      </c>
      <c r="AP5" s="58">
        <f>AO5*0.051</f>
        <v>8028.215999999999</v>
      </c>
      <c r="AQ5" s="176">
        <f>AO5+AP5</f>
        <v>165444.216</v>
      </c>
      <c r="AR5" s="174">
        <f>AQ5*$AR$4</f>
        <v>160480.88951999997</v>
      </c>
      <c r="AS5" s="64"/>
      <c r="AT5" s="64"/>
      <c r="AU5" s="102">
        <f aca="true" t="shared" si="3" ref="AU5:AU15">SUM(AR5:AT5)</f>
        <v>160480.88951999997</v>
      </c>
      <c r="AV5" s="50">
        <v>19</v>
      </c>
      <c r="AW5" s="57">
        <v>927</v>
      </c>
      <c r="AX5" s="58">
        <f>AV5*AW5</f>
        <v>17613</v>
      </c>
      <c r="AY5" s="50">
        <v>1</v>
      </c>
      <c r="AZ5" s="57">
        <v>2371</v>
      </c>
      <c r="BA5" s="58">
        <f>AY5*AZ5</f>
        <v>2371</v>
      </c>
      <c r="BB5" s="58">
        <f>AX5+BA5</f>
        <v>19984</v>
      </c>
      <c r="BC5" s="57">
        <f>BB5*0.051</f>
        <v>1019.184</v>
      </c>
      <c r="BD5" s="147">
        <f>BB5+BC5</f>
        <v>21003.184</v>
      </c>
      <c r="BE5" s="95"/>
      <c r="BF5" s="68"/>
      <c r="BG5" s="148">
        <f aca="true" t="shared" si="4" ref="BG5:BG14">BE5*BF5</f>
        <v>0</v>
      </c>
      <c r="BH5" s="148"/>
      <c r="BI5" s="148"/>
      <c r="BJ5" s="148"/>
      <c r="BK5" s="67">
        <v>0</v>
      </c>
      <c r="BL5" s="68">
        <v>0</v>
      </c>
      <c r="BM5" s="67">
        <v>0</v>
      </c>
      <c r="BN5" s="57">
        <f>BM5*405</f>
        <v>0</v>
      </c>
      <c r="BO5" s="147">
        <f>BL5+BN5</f>
        <v>0</v>
      </c>
      <c r="BP5" s="47">
        <f aca="true" t="shared" si="5" ref="BP5:BP14">G5</f>
        <v>19</v>
      </c>
      <c r="BQ5" s="57">
        <v>94</v>
      </c>
      <c r="BR5" s="147">
        <f>BP5*BQ5</f>
        <v>1786</v>
      </c>
      <c r="BS5" s="100">
        <v>30</v>
      </c>
      <c r="BT5" s="57">
        <v>1900</v>
      </c>
      <c r="BU5" s="57">
        <v>26.4</v>
      </c>
      <c r="BV5" s="147">
        <f>(BS5*BU5)+BT5</f>
        <v>2692</v>
      </c>
      <c r="BW5" s="52">
        <f>G5+M5+S5+Y5</f>
        <v>30</v>
      </c>
      <c r="BX5" s="57">
        <v>25</v>
      </c>
      <c r="BY5" s="147">
        <f>BW5*BX5</f>
        <v>750</v>
      </c>
      <c r="BZ5" s="112"/>
      <c r="CA5" s="113">
        <v>0</v>
      </c>
      <c r="CB5" s="112"/>
      <c r="CC5" s="113">
        <v>0</v>
      </c>
      <c r="CD5" s="150">
        <f>(BZ5*CA5)+(CB5*CC5)</f>
        <v>0</v>
      </c>
      <c r="CE5" s="148">
        <v>80579</v>
      </c>
      <c r="CF5" s="148">
        <v>0</v>
      </c>
      <c r="CG5" s="112"/>
      <c r="CH5" s="113"/>
      <c r="CI5" s="113"/>
      <c r="CJ5" s="113"/>
      <c r="CK5" s="151">
        <f>CG5*CH5</f>
        <v>0</v>
      </c>
      <c r="CL5" s="94">
        <f>SUM(AU5,BD5,BG5,BO5,BR5,BV5,BY5,CD5,CE5,CF5,CK5)</f>
        <v>267291.07352</v>
      </c>
    </row>
    <row r="6" spans="1:90" ht="21.75" customHeight="1">
      <c r="A6" s="60">
        <v>2</v>
      </c>
      <c r="B6" s="49" t="s">
        <v>3</v>
      </c>
      <c r="C6" s="111"/>
      <c r="D6" s="59">
        <v>0</v>
      </c>
      <c r="E6" s="59">
        <f aca="true" t="shared" si="6" ref="E6:E11">SUM(C6*1355)</f>
        <v>0</v>
      </c>
      <c r="F6" s="91">
        <f aca="true" t="shared" si="7" ref="F6:F14">SUM(D6+E6)</f>
        <v>0</v>
      </c>
      <c r="G6" s="95">
        <v>27</v>
      </c>
      <c r="H6" s="57">
        <v>2123</v>
      </c>
      <c r="I6" s="90">
        <f aca="true" t="shared" si="8" ref="I6:I14">G6*H6</f>
        <v>57321</v>
      </c>
      <c r="J6" s="95">
        <v>3</v>
      </c>
      <c r="K6" s="57">
        <v>10774</v>
      </c>
      <c r="L6" s="92">
        <f t="shared" si="0"/>
        <v>32322</v>
      </c>
      <c r="M6" s="95">
        <v>27</v>
      </c>
      <c r="N6" s="71">
        <v>2123</v>
      </c>
      <c r="O6" s="92">
        <f t="shared" si="1"/>
        <v>57321</v>
      </c>
      <c r="P6" s="95">
        <v>3</v>
      </c>
      <c r="Q6" s="71">
        <v>10774</v>
      </c>
      <c r="R6" s="92">
        <f aca="true" t="shared" si="9" ref="R6:R14">P6*Q6</f>
        <v>32322</v>
      </c>
      <c r="S6" s="100"/>
      <c r="T6" s="72"/>
      <c r="U6" s="90">
        <f aca="true" t="shared" si="10" ref="U6:U14">S6*T6</f>
        <v>0</v>
      </c>
      <c r="V6" s="100"/>
      <c r="W6" s="58"/>
      <c r="X6" s="90">
        <f aca="true" t="shared" si="11" ref="X6:X14">V6*W6</f>
        <v>0</v>
      </c>
      <c r="Y6" s="51"/>
      <c r="Z6" s="57"/>
      <c r="AA6" s="58">
        <f aca="true" t="shared" si="12" ref="AA6:AA14">Y6*Z6</f>
        <v>0</v>
      </c>
      <c r="AB6" s="50"/>
      <c r="AC6" s="57"/>
      <c r="AD6" s="58">
        <f aca="true" t="shared" si="13" ref="AD6:AD14">AB6*AC6</f>
        <v>0</v>
      </c>
      <c r="AE6" s="58">
        <f aca="true" t="shared" si="14" ref="AE6:AE14">(AA6+AD6)*0.051</f>
        <v>0</v>
      </c>
      <c r="AF6" s="147">
        <f aca="true" t="shared" si="15" ref="AF6:AF14">AA6+AD6+AE6</f>
        <v>0</v>
      </c>
      <c r="AG6" s="50"/>
      <c r="AH6" s="58">
        <f aca="true" t="shared" si="16" ref="AH6:AH14">AG6*2853</f>
        <v>0</v>
      </c>
      <c r="AI6" s="47"/>
      <c r="AJ6" s="58">
        <f aca="true" t="shared" si="17" ref="AJ6:AJ14">AI6*10934</f>
        <v>0</v>
      </c>
      <c r="AK6" s="57">
        <f aca="true" t="shared" si="18" ref="AK6:AK14">(AH6+AJ6)*0.051</f>
        <v>0</v>
      </c>
      <c r="AL6" s="147">
        <f aca="true" t="shared" si="19" ref="AL6:AL14">AH6+AJ6+AK6</f>
        <v>0</v>
      </c>
      <c r="AM6" s="107">
        <f t="shared" si="2"/>
        <v>54</v>
      </c>
      <c r="AN6" s="90">
        <v>50630</v>
      </c>
      <c r="AO6" s="89">
        <f aca="true" t="shared" si="20" ref="AO6:AO13">F6+I6+L6+O6+R6+U6+X6+AN6</f>
        <v>229916</v>
      </c>
      <c r="AP6" s="58">
        <f aca="true" t="shared" si="21" ref="AP6:AP14">AO6*0.051</f>
        <v>11725.715999999999</v>
      </c>
      <c r="AQ6" s="176">
        <f aca="true" t="shared" si="22" ref="AQ6:AQ13">AO6+AP6</f>
        <v>241641.716</v>
      </c>
      <c r="AR6" s="174">
        <f>AQ6*$AR$4</f>
        <v>234392.46451999998</v>
      </c>
      <c r="AS6" s="64">
        <v>41958</v>
      </c>
      <c r="AT6" s="64"/>
      <c r="AU6" s="102">
        <f t="shared" si="3"/>
        <v>276350.46452</v>
      </c>
      <c r="AV6" s="64">
        <v>17</v>
      </c>
      <c r="AW6" s="57">
        <v>927</v>
      </c>
      <c r="AX6" s="58">
        <f aca="true" t="shared" si="23" ref="AX6:AX14">AV6*AW6</f>
        <v>15759</v>
      </c>
      <c r="AY6" s="64">
        <v>1</v>
      </c>
      <c r="AZ6" s="57">
        <v>2371</v>
      </c>
      <c r="BA6" s="58">
        <f aca="true" t="shared" si="24" ref="BA6:BA14">AY6*AZ6</f>
        <v>2371</v>
      </c>
      <c r="BB6" s="58">
        <f aca="true" t="shared" si="25" ref="BB6:BB14">AX6+BA6</f>
        <v>18130</v>
      </c>
      <c r="BC6" s="57">
        <f aca="true" t="shared" si="26" ref="BC6:BC14">BB6*0.051</f>
        <v>924.63</v>
      </c>
      <c r="BD6" s="147">
        <f aca="true" t="shared" si="27" ref="BD6:BD14">BB6+BC6</f>
        <v>19054.63</v>
      </c>
      <c r="BE6" s="61"/>
      <c r="BF6" s="74"/>
      <c r="BG6" s="148">
        <f t="shared" si="4"/>
        <v>0</v>
      </c>
      <c r="BH6" s="148"/>
      <c r="BI6" s="148"/>
      <c r="BJ6" s="148"/>
      <c r="BK6" s="56">
        <v>0</v>
      </c>
      <c r="BL6" s="68">
        <v>0</v>
      </c>
      <c r="BM6" s="56">
        <v>5</v>
      </c>
      <c r="BN6" s="57">
        <v>2475</v>
      </c>
      <c r="BO6" s="147">
        <f aca="true" t="shared" si="28" ref="BO6:BO14">BL6+BN6</f>
        <v>2475</v>
      </c>
      <c r="BP6" s="47">
        <f t="shared" si="5"/>
        <v>27</v>
      </c>
      <c r="BQ6" s="57">
        <v>94</v>
      </c>
      <c r="BR6" s="147">
        <f aca="true" t="shared" si="29" ref="BR6:BR14">BP6*BQ6</f>
        <v>2538</v>
      </c>
      <c r="BS6" s="100">
        <v>54</v>
      </c>
      <c r="BT6" s="57">
        <v>1900</v>
      </c>
      <c r="BU6" s="57">
        <v>26.4</v>
      </c>
      <c r="BV6" s="147">
        <f aca="true" t="shared" si="30" ref="BV6:BV14">(BS6*BU6)+BT6</f>
        <v>3325.6</v>
      </c>
      <c r="BW6" s="52">
        <f>G6+M6+S6+Y6</f>
        <v>54</v>
      </c>
      <c r="BX6" s="57">
        <v>25</v>
      </c>
      <c r="BY6" s="147">
        <f aca="true" t="shared" si="31" ref="BY6:BY14">BW6*BX6</f>
        <v>1350</v>
      </c>
      <c r="BZ6" s="112"/>
      <c r="CA6" s="113">
        <v>0</v>
      </c>
      <c r="CB6" s="112"/>
      <c r="CC6" s="113">
        <v>0</v>
      </c>
      <c r="CD6" s="150">
        <f aca="true" t="shared" si="32" ref="CD6:CD14">(BZ6*CA6)+(CB6*CC6)</f>
        <v>0</v>
      </c>
      <c r="CE6" s="148">
        <v>0</v>
      </c>
      <c r="CF6" s="148">
        <v>0</v>
      </c>
      <c r="CG6" s="112"/>
      <c r="CH6" s="113"/>
      <c r="CI6" s="113"/>
      <c r="CJ6" s="113"/>
      <c r="CK6" s="151">
        <f aca="true" t="shared" si="33" ref="CK6:CK14">CG6*CH6</f>
        <v>0</v>
      </c>
      <c r="CL6" s="94">
        <f>SUM(AU6,BD6,BG6,BO6,BR6,BV6,BY6,CD6,CE6,CF6,CK6)</f>
        <v>305093.69451999996</v>
      </c>
    </row>
    <row r="7" spans="1:90" ht="21.75" customHeight="1">
      <c r="A7" s="54">
        <v>3</v>
      </c>
      <c r="B7" s="49" t="s">
        <v>33</v>
      </c>
      <c r="C7" s="111"/>
      <c r="D7" s="59">
        <v>0</v>
      </c>
      <c r="E7" s="59">
        <f t="shared" si="6"/>
        <v>0</v>
      </c>
      <c r="F7" s="91">
        <f t="shared" si="7"/>
        <v>0</v>
      </c>
      <c r="G7" s="95">
        <v>133</v>
      </c>
      <c r="H7" s="57">
        <v>2123</v>
      </c>
      <c r="I7" s="90">
        <f t="shared" si="8"/>
        <v>282359</v>
      </c>
      <c r="J7" s="95">
        <v>7</v>
      </c>
      <c r="K7" s="57">
        <v>10774</v>
      </c>
      <c r="L7" s="92">
        <f t="shared" si="0"/>
        <v>75418</v>
      </c>
      <c r="M7" s="95">
        <v>337</v>
      </c>
      <c r="N7" s="71">
        <v>2123</v>
      </c>
      <c r="O7" s="92">
        <f t="shared" si="1"/>
        <v>715451</v>
      </c>
      <c r="P7" s="95">
        <v>14</v>
      </c>
      <c r="Q7" s="71">
        <v>10774</v>
      </c>
      <c r="R7" s="92">
        <f t="shared" si="9"/>
        <v>150836</v>
      </c>
      <c r="S7" s="50">
        <v>230</v>
      </c>
      <c r="T7" s="62">
        <v>2123</v>
      </c>
      <c r="U7" s="90">
        <f t="shared" si="10"/>
        <v>488290</v>
      </c>
      <c r="V7" s="50">
        <v>11</v>
      </c>
      <c r="W7" s="57">
        <v>10774</v>
      </c>
      <c r="X7" s="90">
        <f t="shared" si="11"/>
        <v>118514</v>
      </c>
      <c r="Y7" s="51">
        <v>22</v>
      </c>
      <c r="Z7" s="57">
        <v>4126</v>
      </c>
      <c r="AA7" s="58">
        <f t="shared" si="12"/>
        <v>90772</v>
      </c>
      <c r="AB7" s="50">
        <v>1</v>
      </c>
      <c r="AC7" s="57">
        <v>10774</v>
      </c>
      <c r="AD7" s="58">
        <f t="shared" si="13"/>
        <v>10774</v>
      </c>
      <c r="AE7" s="58">
        <f t="shared" si="14"/>
        <v>5178.846</v>
      </c>
      <c r="AF7" s="147">
        <f t="shared" si="15"/>
        <v>106724.846</v>
      </c>
      <c r="AG7" s="50">
        <v>70</v>
      </c>
      <c r="AH7" s="58">
        <v>264390</v>
      </c>
      <c r="AI7" s="47">
        <v>3</v>
      </c>
      <c r="AJ7" s="58">
        <v>43179</v>
      </c>
      <c r="AK7" s="57">
        <f t="shared" si="18"/>
        <v>15686.018999999998</v>
      </c>
      <c r="AL7" s="147">
        <f t="shared" si="19"/>
        <v>323255.019</v>
      </c>
      <c r="AM7" s="107">
        <f>G7+M7+S7</f>
        <v>700</v>
      </c>
      <c r="AN7" s="90">
        <v>50630</v>
      </c>
      <c r="AO7" s="89">
        <f>F7+I7+L7+O7+R7+U7+X7+AN7</f>
        <v>1881498</v>
      </c>
      <c r="AP7" s="58">
        <f>AO7*0.051</f>
        <v>95956.398</v>
      </c>
      <c r="AQ7" s="176">
        <f>AO7+AP7</f>
        <v>1977454.398</v>
      </c>
      <c r="AR7" s="174">
        <f aca="true" t="shared" si="34" ref="AR7:AR14">AQ7*$AR$4</f>
        <v>1918130.76606</v>
      </c>
      <c r="AS7" s="64"/>
      <c r="AT7" s="64"/>
      <c r="AU7" s="102">
        <f t="shared" si="3"/>
        <v>1918130.76606</v>
      </c>
      <c r="AV7" s="64">
        <v>147</v>
      </c>
      <c r="AW7" s="57">
        <v>927</v>
      </c>
      <c r="AX7" s="58">
        <f t="shared" si="23"/>
        <v>136269</v>
      </c>
      <c r="AY7" s="64">
        <v>7</v>
      </c>
      <c r="AZ7" s="57">
        <v>2371</v>
      </c>
      <c r="BA7" s="58">
        <f t="shared" si="24"/>
        <v>16597</v>
      </c>
      <c r="BB7" s="58">
        <f t="shared" si="25"/>
        <v>152866</v>
      </c>
      <c r="BC7" s="57">
        <f t="shared" si="26"/>
        <v>7796.165999999999</v>
      </c>
      <c r="BD7" s="147">
        <f t="shared" si="27"/>
        <v>160662.166</v>
      </c>
      <c r="BE7" s="105">
        <v>7</v>
      </c>
      <c r="BF7" s="68">
        <v>733</v>
      </c>
      <c r="BG7" s="148">
        <f t="shared" si="4"/>
        <v>5131</v>
      </c>
      <c r="BH7" s="185">
        <v>4</v>
      </c>
      <c r="BI7" s="148">
        <v>1695</v>
      </c>
      <c r="BJ7" s="148">
        <f>SUM(BH7*BI7)</f>
        <v>6780</v>
      </c>
      <c r="BK7" s="56">
        <v>12</v>
      </c>
      <c r="BL7" s="68">
        <v>44988</v>
      </c>
      <c r="BM7" s="56">
        <v>0</v>
      </c>
      <c r="BN7" s="57">
        <f aca="true" t="shared" si="35" ref="BN7:BN13">BM7*405</f>
        <v>0</v>
      </c>
      <c r="BO7" s="147">
        <f t="shared" si="28"/>
        <v>44988</v>
      </c>
      <c r="BP7" s="47">
        <f t="shared" si="5"/>
        <v>133</v>
      </c>
      <c r="BQ7" s="57">
        <v>94</v>
      </c>
      <c r="BR7" s="147">
        <f t="shared" si="29"/>
        <v>12502</v>
      </c>
      <c r="BS7" s="100">
        <v>792</v>
      </c>
      <c r="BT7" s="57">
        <v>1900</v>
      </c>
      <c r="BU7" s="57">
        <v>26.4</v>
      </c>
      <c r="BV7" s="147">
        <f t="shared" si="30"/>
        <v>22808.8</v>
      </c>
      <c r="BW7" s="52">
        <v>792</v>
      </c>
      <c r="BX7" s="57">
        <v>25</v>
      </c>
      <c r="BY7" s="147">
        <f t="shared" si="31"/>
        <v>19800</v>
      </c>
      <c r="BZ7" s="114">
        <v>252</v>
      </c>
      <c r="CA7" s="115">
        <v>87</v>
      </c>
      <c r="CB7" s="114">
        <v>70</v>
      </c>
      <c r="CC7" s="113">
        <v>97</v>
      </c>
      <c r="CD7" s="150">
        <f t="shared" si="32"/>
        <v>28714</v>
      </c>
      <c r="CE7" s="148">
        <v>0</v>
      </c>
      <c r="CF7" s="148">
        <v>6033</v>
      </c>
      <c r="CG7" s="114">
        <v>252</v>
      </c>
      <c r="CH7" s="115">
        <v>85</v>
      </c>
      <c r="CI7" s="194">
        <v>70</v>
      </c>
      <c r="CJ7" s="115">
        <v>50</v>
      </c>
      <c r="CK7" s="151">
        <v>24920</v>
      </c>
      <c r="CL7" s="94">
        <f>AU7+BD7+BG7+BJ7+BO7+BR7+BV7+BY7+CD7+CF7+CK7+AF7+AL7</f>
        <v>2680449.5970599996</v>
      </c>
    </row>
    <row r="8" spans="1:90" ht="21.75" customHeight="1">
      <c r="A8" s="60">
        <v>4</v>
      </c>
      <c r="B8" s="49" t="s">
        <v>32</v>
      </c>
      <c r="C8" s="111"/>
      <c r="D8" s="59">
        <v>0</v>
      </c>
      <c r="E8" s="59">
        <f t="shared" si="6"/>
        <v>0</v>
      </c>
      <c r="F8" s="91">
        <f t="shared" si="7"/>
        <v>0</v>
      </c>
      <c r="G8" s="95">
        <v>39</v>
      </c>
      <c r="H8" s="57">
        <v>2123</v>
      </c>
      <c r="I8" s="90">
        <f t="shared" si="8"/>
        <v>82797</v>
      </c>
      <c r="J8" s="95">
        <v>4</v>
      </c>
      <c r="K8" s="57">
        <v>10774</v>
      </c>
      <c r="L8" s="92">
        <f t="shared" si="0"/>
        <v>43096</v>
      </c>
      <c r="M8" s="95"/>
      <c r="N8" s="71"/>
      <c r="O8" s="92">
        <f t="shared" si="1"/>
        <v>0</v>
      </c>
      <c r="P8" s="95"/>
      <c r="Q8" s="71"/>
      <c r="R8" s="92">
        <f t="shared" si="9"/>
        <v>0</v>
      </c>
      <c r="S8" s="50"/>
      <c r="T8" s="73"/>
      <c r="U8" s="90">
        <f t="shared" si="10"/>
        <v>0</v>
      </c>
      <c r="V8" s="50"/>
      <c r="W8" s="57"/>
      <c r="X8" s="90">
        <f t="shared" si="11"/>
        <v>0</v>
      </c>
      <c r="Y8" s="51"/>
      <c r="Z8" s="57"/>
      <c r="AA8" s="58">
        <f t="shared" si="12"/>
        <v>0</v>
      </c>
      <c r="AB8" s="50"/>
      <c r="AC8" s="57"/>
      <c r="AD8" s="58">
        <f t="shared" si="13"/>
        <v>0</v>
      </c>
      <c r="AE8" s="58">
        <f t="shared" si="14"/>
        <v>0</v>
      </c>
      <c r="AF8" s="147">
        <f t="shared" si="15"/>
        <v>0</v>
      </c>
      <c r="AG8" s="50"/>
      <c r="AH8" s="58">
        <f t="shared" si="16"/>
        <v>0</v>
      </c>
      <c r="AI8" s="47"/>
      <c r="AJ8" s="58">
        <f t="shared" si="17"/>
        <v>0</v>
      </c>
      <c r="AK8" s="57">
        <f t="shared" si="18"/>
        <v>0</v>
      </c>
      <c r="AL8" s="147">
        <f t="shared" si="19"/>
        <v>0</v>
      </c>
      <c r="AM8" s="107">
        <f t="shared" si="2"/>
        <v>39</v>
      </c>
      <c r="AN8" s="90">
        <v>50630</v>
      </c>
      <c r="AO8" s="89">
        <f t="shared" si="20"/>
        <v>176523</v>
      </c>
      <c r="AP8" s="58">
        <f t="shared" si="21"/>
        <v>9002.672999999999</v>
      </c>
      <c r="AQ8" s="176">
        <f t="shared" si="22"/>
        <v>185525.673</v>
      </c>
      <c r="AR8" s="174">
        <f>AQ8*$AR$4</f>
        <v>179959.90281</v>
      </c>
      <c r="AS8" s="64">
        <v>30303</v>
      </c>
      <c r="AT8" s="64"/>
      <c r="AU8" s="102">
        <f t="shared" si="3"/>
        <v>210262.90281</v>
      </c>
      <c r="AV8" s="64">
        <v>36</v>
      </c>
      <c r="AW8" s="57">
        <v>927</v>
      </c>
      <c r="AX8" s="58">
        <f t="shared" si="23"/>
        <v>33372</v>
      </c>
      <c r="AY8" s="64">
        <v>2</v>
      </c>
      <c r="AZ8" s="57">
        <v>2371</v>
      </c>
      <c r="BA8" s="58">
        <f t="shared" si="24"/>
        <v>4742</v>
      </c>
      <c r="BB8" s="58">
        <f t="shared" si="25"/>
        <v>38114</v>
      </c>
      <c r="BC8" s="57">
        <f t="shared" si="26"/>
        <v>1943.8139999999999</v>
      </c>
      <c r="BD8" s="147">
        <f t="shared" si="27"/>
        <v>40057.814</v>
      </c>
      <c r="BE8" s="61"/>
      <c r="BF8" s="74"/>
      <c r="BG8" s="148">
        <f t="shared" si="4"/>
        <v>0</v>
      </c>
      <c r="BH8" s="148"/>
      <c r="BI8" s="148"/>
      <c r="BJ8" s="148"/>
      <c r="BK8" s="56">
        <v>0</v>
      </c>
      <c r="BL8" s="68">
        <v>0</v>
      </c>
      <c r="BM8" s="56">
        <v>5</v>
      </c>
      <c r="BN8" s="57">
        <v>2475</v>
      </c>
      <c r="BO8" s="147">
        <f t="shared" si="28"/>
        <v>2475</v>
      </c>
      <c r="BP8" s="47">
        <f t="shared" si="5"/>
        <v>39</v>
      </c>
      <c r="BQ8" s="57">
        <v>94</v>
      </c>
      <c r="BR8" s="147">
        <f t="shared" si="29"/>
        <v>3666</v>
      </c>
      <c r="BS8" s="100">
        <v>39</v>
      </c>
      <c r="BT8" s="57">
        <v>1900</v>
      </c>
      <c r="BU8" s="57">
        <v>26.4</v>
      </c>
      <c r="BV8" s="147">
        <f t="shared" si="30"/>
        <v>2929.6</v>
      </c>
      <c r="BW8" s="52">
        <f aca="true" t="shared" si="36" ref="BW8:BW14">G8+M8+S8+Y8</f>
        <v>39</v>
      </c>
      <c r="BX8" s="57">
        <v>25</v>
      </c>
      <c r="BY8" s="147">
        <f t="shared" si="31"/>
        <v>975</v>
      </c>
      <c r="BZ8" s="112"/>
      <c r="CA8" s="113">
        <v>0</v>
      </c>
      <c r="CB8" s="112"/>
      <c r="CC8" s="113">
        <v>0</v>
      </c>
      <c r="CD8" s="150">
        <f t="shared" si="32"/>
        <v>0</v>
      </c>
      <c r="CE8" s="148">
        <v>0</v>
      </c>
      <c r="CF8" s="148">
        <v>0</v>
      </c>
      <c r="CG8" s="112"/>
      <c r="CH8" s="113"/>
      <c r="CI8" s="113"/>
      <c r="CJ8" s="113"/>
      <c r="CK8" s="151">
        <f t="shared" si="33"/>
        <v>0</v>
      </c>
      <c r="CL8" s="94">
        <f aca="true" t="shared" si="37" ref="CL8:CL14">SUM(AU8,BD8,BG8,BO8,BR8,BV8,BY8,CD8,CE8,CF8,CK8)</f>
        <v>260366.31681000002</v>
      </c>
    </row>
    <row r="9" spans="1:90" ht="21.75" customHeight="1">
      <c r="A9" s="60">
        <v>5</v>
      </c>
      <c r="B9" s="49" t="s">
        <v>14</v>
      </c>
      <c r="C9" s="111"/>
      <c r="D9" s="59">
        <v>0</v>
      </c>
      <c r="E9" s="59">
        <f t="shared" si="6"/>
        <v>0</v>
      </c>
      <c r="F9" s="91">
        <f t="shared" si="7"/>
        <v>0</v>
      </c>
      <c r="G9" s="95">
        <v>306</v>
      </c>
      <c r="H9" s="57">
        <v>2123</v>
      </c>
      <c r="I9" s="90">
        <f t="shared" si="8"/>
        <v>649638</v>
      </c>
      <c r="J9" s="95">
        <v>12</v>
      </c>
      <c r="K9" s="57">
        <v>10774</v>
      </c>
      <c r="L9" s="92">
        <f t="shared" si="0"/>
        <v>129288</v>
      </c>
      <c r="M9" s="95"/>
      <c r="N9" s="71"/>
      <c r="O9" s="92">
        <f t="shared" si="1"/>
        <v>0</v>
      </c>
      <c r="P9" s="95"/>
      <c r="Q9" s="71"/>
      <c r="R9" s="92">
        <f t="shared" si="9"/>
        <v>0</v>
      </c>
      <c r="S9" s="50"/>
      <c r="T9" s="73"/>
      <c r="U9" s="90">
        <f t="shared" si="10"/>
        <v>0</v>
      </c>
      <c r="V9" s="50"/>
      <c r="W9" s="57"/>
      <c r="X9" s="90">
        <f t="shared" si="11"/>
        <v>0</v>
      </c>
      <c r="Y9" s="51"/>
      <c r="Z9" s="57"/>
      <c r="AA9" s="58">
        <f t="shared" si="12"/>
        <v>0</v>
      </c>
      <c r="AB9" s="50"/>
      <c r="AC9" s="57"/>
      <c r="AD9" s="58">
        <f t="shared" si="13"/>
        <v>0</v>
      </c>
      <c r="AE9" s="58">
        <f t="shared" si="14"/>
        <v>0</v>
      </c>
      <c r="AF9" s="147">
        <f t="shared" si="15"/>
        <v>0</v>
      </c>
      <c r="AG9" s="50"/>
      <c r="AH9" s="58">
        <f t="shared" si="16"/>
        <v>0</v>
      </c>
      <c r="AI9" s="47"/>
      <c r="AJ9" s="58">
        <f t="shared" si="17"/>
        <v>0</v>
      </c>
      <c r="AK9" s="57">
        <f t="shared" si="18"/>
        <v>0</v>
      </c>
      <c r="AL9" s="147">
        <f t="shared" si="19"/>
        <v>0</v>
      </c>
      <c r="AM9" s="107">
        <f t="shared" si="2"/>
        <v>306</v>
      </c>
      <c r="AN9" s="90">
        <v>50630</v>
      </c>
      <c r="AO9" s="89">
        <f t="shared" si="20"/>
        <v>829556</v>
      </c>
      <c r="AP9" s="58">
        <f t="shared" si="21"/>
        <v>42307.356</v>
      </c>
      <c r="AQ9" s="176">
        <f t="shared" si="22"/>
        <v>871863.356</v>
      </c>
      <c r="AR9" s="174">
        <f t="shared" si="34"/>
        <v>845707.45532</v>
      </c>
      <c r="AS9" s="64"/>
      <c r="AT9" s="64"/>
      <c r="AU9" s="102">
        <f t="shared" si="3"/>
        <v>845707.45532</v>
      </c>
      <c r="AV9" s="64">
        <v>261</v>
      </c>
      <c r="AW9" s="57">
        <v>927</v>
      </c>
      <c r="AX9" s="58">
        <f t="shared" si="23"/>
        <v>241947</v>
      </c>
      <c r="AY9" s="64">
        <v>12</v>
      </c>
      <c r="AZ9" s="57">
        <v>2371</v>
      </c>
      <c r="BA9" s="58">
        <f t="shared" si="24"/>
        <v>28452</v>
      </c>
      <c r="BB9" s="58">
        <f t="shared" si="25"/>
        <v>270399</v>
      </c>
      <c r="BC9" s="57">
        <f t="shared" si="26"/>
        <v>13790.348999999998</v>
      </c>
      <c r="BD9" s="147">
        <f t="shared" si="27"/>
        <v>284189.349</v>
      </c>
      <c r="BE9" s="61"/>
      <c r="BF9" s="74"/>
      <c r="BG9" s="148">
        <f t="shared" si="4"/>
        <v>0</v>
      </c>
      <c r="BH9" s="148"/>
      <c r="BI9" s="148"/>
      <c r="BJ9" s="148"/>
      <c r="BK9" s="56">
        <v>0</v>
      </c>
      <c r="BL9" s="68">
        <v>0</v>
      </c>
      <c r="BM9" s="56">
        <v>2</v>
      </c>
      <c r="BN9" s="57">
        <v>990</v>
      </c>
      <c r="BO9" s="147">
        <f t="shared" si="28"/>
        <v>990</v>
      </c>
      <c r="BP9" s="47">
        <f t="shared" si="5"/>
        <v>306</v>
      </c>
      <c r="BQ9" s="57">
        <v>94</v>
      </c>
      <c r="BR9" s="147">
        <f t="shared" si="29"/>
        <v>28764</v>
      </c>
      <c r="BS9" s="100">
        <v>306</v>
      </c>
      <c r="BT9" s="57">
        <v>1900</v>
      </c>
      <c r="BU9" s="57">
        <v>26.4</v>
      </c>
      <c r="BV9" s="147">
        <f t="shared" si="30"/>
        <v>9978.4</v>
      </c>
      <c r="BW9" s="52">
        <f t="shared" si="36"/>
        <v>306</v>
      </c>
      <c r="BX9" s="57">
        <v>25</v>
      </c>
      <c r="BY9" s="147">
        <f t="shared" si="31"/>
        <v>7650</v>
      </c>
      <c r="BZ9" s="112"/>
      <c r="CA9" s="113">
        <v>0</v>
      </c>
      <c r="CB9" s="112"/>
      <c r="CC9" s="113">
        <v>0</v>
      </c>
      <c r="CD9" s="150">
        <f t="shared" si="32"/>
        <v>0</v>
      </c>
      <c r="CE9" s="148">
        <v>0</v>
      </c>
      <c r="CF9" s="148">
        <v>0</v>
      </c>
      <c r="CG9" s="112"/>
      <c r="CH9" s="113"/>
      <c r="CI9" s="113"/>
      <c r="CJ9" s="113"/>
      <c r="CK9" s="151">
        <f t="shared" si="33"/>
        <v>0</v>
      </c>
      <c r="CL9" s="94">
        <f t="shared" si="37"/>
        <v>1177279.2043199998</v>
      </c>
    </row>
    <row r="10" spans="1:90" ht="21.75" customHeight="1">
      <c r="A10" s="54">
        <v>6</v>
      </c>
      <c r="B10" s="49" t="s">
        <v>37</v>
      </c>
      <c r="C10" s="111"/>
      <c r="D10" s="59">
        <v>0</v>
      </c>
      <c r="E10" s="59">
        <f t="shared" si="6"/>
        <v>0</v>
      </c>
      <c r="F10" s="91">
        <f t="shared" si="7"/>
        <v>0</v>
      </c>
      <c r="G10" s="95">
        <v>45</v>
      </c>
      <c r="H10" s="57">
        <v>2123</v>
      </c>
      <c r="I10" s="90">
        <f t="shared" si="8"/>
        <v>95535</v>
      </c>
      <c r="J10" s="95">
        <v>4</v>
      </c>
      <c r="K10" s="57">
        <v>10774</v>
      </c>
      <c r="L10" s="92">
        <f t="shared" si="0"/>
        <v>43096</v>
      </c>
      <c r="M10" s="95">
        <v>59</v>
      </c>
      <c r="N10" s="71">
        <v>2123</v>
      </c>
      <c r="O10" s="92">
        <f t="shared" si="1"/>
        <v>125257</v>
      </c>
      <c r="P10" s="95">
        <v>3</v>
      </c>
      <c r="Q10" s="71">
        <v>10774</v>
      </c>
      <c r="R10" s="92">
        <f t="shared" si="9"/>
        <v>32322</v>
      </c>
      <c r="S10" s="50"/>
      <c r="T10" s="73"/>
      <c r="U10" s="90">
        <f t="shared" si="10"/>
        <v>0</v>
      </c>
      <c r="V10" s="50"/>
      <c r="W10" s="57"/>
      <c r="X10" s="90">
        <f t="shared" si="11"/>
        <v>0</v>
      </c>
      <c r="Y10" s="51"/>
      <c r="Z10" s="57"/>
      <c r="AA10" s="58">
        <f t="shared" si="12"/>
        <v>0</v>
      </c>
      <c r="AB10" s="50"/>
      <c r="AC10" s="57"/>
      <c r="AD10" s="58">
        <f t="shared" si="13"/>
        <v>0</v>
      </c>
      <c r="AE10" s="58">
        <f t="shared" si="14"/>
        <v>0</v>
      </c>
      <c r="AF10" s="147">
        <f t="shared" si="15"/>
        <v>0</v>
      </c>
      <c r="AG10" s="50"/>
      <c r="AH10" s="58">
        <f t="shared" si="16"/>
        <v>0</v>
      </c>
      <c r="AI10" s="47"/>
      <c r="AJ10" s="58">
        <f t="shared" si="17"/>
        <v>0</v>
      </c>
      <c r="AK10" s="57">
        <f t="shared" si="18"/>
        <v>0</v>
      </c>
      <c r="AL10" s="147">
        <f t="shared" si="19"/>
        <v>0</v>
      </c>
      <c r="AM10" s="107">
        <f t="shared" si="2"/>
        <v>104</v>
      </c>
      <c r="AN10" s="90">
        <v>50630</v>
      </c>
      <c r="AO10" s="89">
        <f t="shared" si="20"/>
        <v>346840</v>
      </c>
      <c r="AP10" s="58">
        <f t="shared" si="21"/>
        <v>17688.84</v>
      </c>
      <c r="AQ10" s="176">
        <f t="shared" si="22"/>
        <v>364528.84</v>
      </c>
      <c r="AR10" s="174">
        <f t="shared" si="34"/>
        <v>353592.9748</v>
      </c>
      <c r="AS10" s="64"/>
      <c r="AT10" s="64">
        <v>15034</v>
      </c>
      <c r="AU10" s="102">
        <f t="shared" si="3"/>
        <v>368626.9748</v>
      </c>
      <c r="AV10" s="64">
        <v>37</v>
      </c>
      <c r="AW10" s="57">
        <v>927</v>
      </c>
      <c r="AX10" s="58">
        <f t="shared" si="23"/>
        <v>34299</v>
      </c>
      <c r="AY10" s="64">
        <v>2</v>
      </c>
      <c r="AZ10" s="57">
        <v>2371</v>
      </c>
      <c r="BA10" s="58">
        <f t="shared" si="24"/>
        <v>4742</v>
      </c>
      <c r="BB10" s="58">
        <f t="shared" si="25"/>
        <v>39041</v>
      </c>
      <c r="BC10" s="57">
        <f t="shared" si="26"/>
        <v>1991.091</v>
      </c>
      <c r="BD10" s="147">
        <f t="shared" si="27"/>
        <v>41032.091</v>
      </c>
      <c r="BE10" s="61"/>
      <c r="BF10" s="74"/>
      <c r="BG10" s="148">
        <f t="shared" si="4"/>
        <v>0</v>
      </c>
      <c r="BH10" s="148"/>
      <c r="BI10" s="148"/>
      <c r="BJ10" s="148"/>
      <c r="BK10" s="56">
        <v>0</v>
      </c>
      <c r="BL10" s="68">
        <v>0</v>
      </c>
      <c r="BM10" s="56">
        <v>5</v>
      </c>
      <c r="BN10" s="57">
        <v>2475</v>
      </c>
      <c r="BO10" s="147">
        <f t="shared" si="28"/>
        <v>2475</v>
      </c>
      <c r="BP10" s="47">
        <f t="shared" si="5"/>
        <v>45</v>
      </c>
      <c r="BQ10" s="57">
        <v>94</v>
      </c>
      <c r="BR10" s="147">
        <f t="shared" si="29"/>
        <v>4230</v>
      </c>
      <c r="BS10" s="100">
        <v>104</v>
      </c>
      <c r="BT10" s="57">
        <v>1900</v>
      </c>
      <c r="BU10" s="57">
        <v>26.4</v>
      </c>
      <c r="BV10" s="147">
        <f t="shared" si="30"/>
        <v>4645.6</v>
      </c>
      <c r="BW10" s="52">
        <f t="shared" si="36"/>
        <v>104</v>
      </c>
      <c r="BX10" s="57">
        <v>25</v>
      </c>
      <c r="BY10" s="147">
        <f t="shared" si="31"/>
        <v>2600</v>
      </c>
      <c r="BZ10" s="112"/>
      <c r="CA10" s="113">
        <v>0</v>
      </c>
      <c r="CB10" s="112"/>
      <c r="CC10" s="113">
        <v>0</v>
      </c>
      <c r="CD10" s="150">
        <f t="shared" si="32"/>
        <v>0</v>
      </c>
      <c r="CE10" s="148">
        <v>0</v>
      </c>
      <c r="CF10" s="148">
        <v>0</v>
      </c>
      <c r="CG10" s="112"/>
      <c r="CH10" s="113"/>
      <c r="CI10" s="113"/>
      <c r="CJ10" s="113"/>
      <c r="CK10" s="151">
        <f t="shared" si="33"/>
        <v>0</v>
      </c>
      <c r="CL10" s="94">
        <f t="shared" si="37"/>
        <v>423609.6658</v>
      </c>
    </row>
    <row r="11" spans="1:90" ht="21.75" customHeight="1">
      <c r="A11" s="60">
        <v>7</v>
      </c>
      <c r="B11" s="49" t="s">
        <v>36</v>
      </c>
      <c r="C11" s="111"/>
      <c r="D11" s="59">
        <v>0</v>
      </c>
      <c r="E11" s="59">
        <f t="shared" si="6"/>
        <v>0</v>
      </c>
      <c r="F11" s="91">
        <f t="shared" si="7"/>
        <v>0</v>
      </c>
      <c r="G11" s="95">
        <v>35</v>
      </c>
      <c r="H11" s="57">
        <v>2123</v>
      </c>
      <c r="I11" s="90">
        <f t="shared" si="8"/>
        <v>74305</v>
      </c>
      <c r="J11" s="95">
        <v>4</v>
      </c>
      <c r="K11" s="57">
        <v>10774</v>
      </c>
      <c r="L11" s="92">
        <f t="shared" si="0"/>
        <v>43096</v>
      </c>
      <c r="M11" s="95">
        <v>33</v>
      </c>
      <c r="N11" s="71">
        <v>2123</v>
      </c>
      <c r="O11" s="92">
        <f t="shared" si="1"/>
        <v>70059</v>
      </c>
      <c r="P11" s="95">
        <v>3</v>
      </c>
      <c r="Q11" s="71">
        <v>10774</v>
      </c>
      <c r="R11" s="92">
        <f t="shared" si="9"/>
        <v>32322</v>
      </c>
      <c r="S11" s="50"/>
      <c r="T11" s="73"/>
      <c r="U11" s="90">
        <f t="shared" si="10"/>
        <v>0</v>
      </c>
      <c r="V11" s="50"/>
      <c r="W11" s="57"/>
      <c r="X11" s="90">
        <f t="shared" si="11"/>
        <v>0</v>
      </c>
      <c r="Y11" s="51"/>
      <c r="Z11" s="57"/>
      <c r="AA11" s="58">
        <f t="shared" si="12"/>
        <v>0</v>
      </c>
      <c r="AB11" s="50"/>
      <c r="AC11" s="57"/>
      <c r="AD11" s="58">
        <f t="shared" si="13"/>
        <v>0</v>
      </c>
      <c r="AE11" s="58">
        <f t="shared" si="14"/>
        <v>0</v>
      </c>
      <c r="AF11" s="147">
        <f t="shared" si="15"/>
        <v>0</v>
      </c>
      <c r="AG11" s="50"/>
      <c r="AH11" s="58">
        <f t="shared" si="16"/>
        <v>0</v>
      </c>
      <c r="AI11" s="47"/>
      <c r="AJ11" s="58">
        <f t="shared" si="17"/>
        <v>0</v>
      </c>
      <c r="AK11" s="57">
        <f t="shared" si="18"/>
        <v>0</v>
      </c>
      <c r="AL11" s="147">
        <f t="shared" si="19"/>
        <v>0</v>
      </c>
      <c r="AM11" s="107">
        <f t="shared" si="2"/>
        <v>68</v>
      </c>
      <c r="AN11" s="90">
        <v>50630</v>
      </c>
      <c r="AO11" s="89">
        <f t="shared" si="20"/>
        <v>270412</v>
      </c>
      <c r="AP11" s="58">
        <f t="shared" si="21"/>
        <v>13791.011999999999</v>
      </c>
      <c r="AQ11" s="176">
        <f t="shared" si="22"/>
        <v>284203.012</v>
      </c>
      <c r="AR11" s="174">
        <f t="shared" si="34"/>
        <v>275676.92163999996</v>
      </c>
      <c r="AS11" s="64"/>
      <c r="AT11" s="64">
        <v>9830</v>
      </c>
      <c r="AU11" s="102">
        <f t="shared" si="3"/>
        <v>285506.92163999996</v>
      </c>
      <c r="AV11" s="64">
        <v>34</v>
      </c>
      <c r="AW11" s="57">
        <v>927</v>
      </c>
      <c r="AX11" s="58">
        <f t="shared" si="23"/>
        <v>31518</v>
      </c>
      <c r="AY11" s="64">
        <v>2</v>
      </c>
      <c r="AZ11" s="57">
        <v>2371</v>
      </c>
      <c r="BA11" s="58">
        <f t="shared" si="24"/>
        <v>4742</v>
      </c>
      <c r="BB11" s="58">
        <f t="shared" si="25"/>
        <v>36260</v>
      </c>
      <c r="BC11" s="57">
        <f t="shared" si="26"/>
        <v>1849.26</v>
      </c>
      <c r="BD11" s="147">
        <f t="shared" si="27"/>
        <v>38109.26</v>
      </c>
      <c r="BE11" s="61"/>
      <c r="BF11" s="74"/>
      <c r="BG11" s="148">
        <f t="shared" si="4"/>
        <v>0</v>
      </c>
      <c r="BH11" s="148"/>
      <c r="BI11" s="148"/>
      <c r="BJ11" s="148"/>
      <c r="BK11" s="56">
        <v>0</v>
      </c>
      <c r="BL11" s="68">
        <v>0</v>
      </c>
      <c r="BM11" s="56">
        <v>12</v>
      </c>
      <c r="BN11" s="57">
        <v>5940</v>
      </c>
      <c r="BO11" s="147">
        <f t="shared" si="28"/>
        <v>5940</v>
      </c>
      <c r="BP11" s="47">
        <f t="shared" si="5"/>
        <v>35</v>
      </c>
      <c r="BQ11" s="57">
        <v>94</v>
      </c>
      <c r="BR11" s="147">
        <f t="shared" si="29"/>
        <v>3290</v>
      </c>
      <c r="BS11" s="100">
        <v>68</v>
      </c>
      <c r="BT11" s="57">
        <v>1900</v>
      </c>
      <c r="BU11" s="57">
        <v>26.4</v>
      </c>
      <c r="BV11" s="147">
        <f t="shared" si="30"/>
        <v>3695.2</v>
      </c>
      <c r="BW11" s="52">
        <f t="shared" si="36"/>
        <v>68</v>
      </c>
      <c r="BX11" s="57">
        <v>25</v>
      </c>
      <c r="BY11" s="147">
        <f t="shared" si="31"/>
        <v>1700</v>
      </c>
      <c r="BZ11" s="112"/>
      <c r="CA11" s="113">
        <v>0</v>
      </c>
      <c r="CB11" s="112"/>
      <c r="CC11" s="113">
        <v>0</v>
      </c>
      <c r="CD11" s="150">
        <f t="shared" si="32"/>
        <v>0</v>
      </c>
      <c r="CE11" s="148">
        <v>0</v>
      </c>
      <c r="CF11" s="148">
        <v>0</v>
      </c>
      <c r="CG11" s="112"/>
      <c r="CH11" s="113"/>
      <c r="CI11" s="113"/>
      <c r="CJ11" s="113"/>
      <c r="CK11" s="151">
        <f t="shared" si="33"/>
        <v>0</v>
      </c>
      <c r="CL11" s="94">
        <f t="shared" si="37"/>
        <v>338241.38164</v>
      </c>
    </row>
    <row r="12" spans="1:90" ht="21.75" customHeight="1">
      <c r="A12" s="60">
        <v>8</v>
      </c>
      <c r="B12" s="49" t="s">
        <v>23</v>
      </c>
      <c r="C12" s="111">
        <v>10</v>
      </c>
      <c r="D12" s="59">
        <v>6148</v>
      </c>
      <c r="E12" s="59">
        <v>3097</v>
      </c>
      <c r="F12" s="91">
        <v>37188</v>
      </c>
      <c r="G12" s="95">
        <v>11</v>
      </c>
      <c r="H12" s="57">
        <v>2123</v>
      </c>
      <c r="I12" s="90">
        <f t="shared" si="8"/>
        <v>23353</v>
      </c>
      <c r="J12" s="95">
        <v>2</v>
      </c>
      <c r="K12" s="57">
        <v>10774</v>
      </c>
      <c r="L12" s="92">
        <f t="shared" si="0"/>
        <v>21548</v>
      </c>
      <c r="M12" s="95">
        <v>8</v>
      </c>
      <c r="N12" s="71">
        <v>2123</v>
      </c>
      <c r="O12" s="92">
        <f t="shared" si="1"/>
        <v>16984</v>
      </c>
      <c r="P12" s="95">
        <v>2</v>
      </c>
      <c r="Q12" s="71">
        <v>10774</v>
      </c>
      <c r="R12" s="92">
        <f t="shared" si="9"/>
        <v>21548</v>
      </c>
      <c r="S12" s="50"/>
      <c r="T12" s="73"/>
      <c r="U12" s="90">
        <f t="shared" si="10"/>
        <v>0</v>
      </c>
      <c r="V12" s="50"/>
      <c r="W12" s="57"/>
      <c r="X12" s="90">
        <f t="shared" si="11"/>
        <v>0</v>
      </c>
      <c r="Y12" s="51"/>
      <c r="Z12" s="57"/>
      <c r="AA12" s="58">
        <f t="shared" si="12"/>
        <v>0</v>
      </c>
      <c r="AB12" s="50"/>
      <c r="AC12" s="57"/>
      <c r="AD12" s="58">
        <f t="shared" si="13"/>
        <v>0</v>
      </c>
      <c r="AE12" s="58">
        <f t="shared" si="14"/>
        <v>0</v>
      </c>
      <c r="AF12" s="147">
        <f t="shared" si="15"/>
        <v>0</v>
      </c>
      <c r="AG12" s="50"/>
      <c r="AH12" s="58">
        <f t="shared" si="16"/>
        <v>0</v>
      </c>
      <c r="AI12" s="47"/>
      <c r="AJ12" s="58">
        <f t="shared" si="17"/>
        <v>0</v>
      </c>
      <c r="AK12" s="57">
        <f t="shared" si="18"/>
        <v>0</v>
      </c>
      <c r="AL12" s="147">
        <f t="shared" si="19"/>
        <v>0</v>
      </c>
      <c r="AM12" s="107">
        <f t="shared" si="2"/>
        <v>19</v>
      </c>
      <c r="AN12" s="90">
        <v>50630</v>
      </c>
      <c r="AO12" s="89">
        <f>F12+I12+L12+O12+R12+U12+X12+AN12</f>
        <v>171251</v>
      </c>
      <c r="AP12" s="58">
        <f t="shared" si="21"/>
        <v>8733.801</v>
      </c>
      <c r="AQ12" s="176">
        <f t="shared" si="22"/>
        <v>179984.801</v>
      </c>
      <c r="AR12" s="174">
        <f t="shared" si="34"/>
        <v>174585.25697</v>
      </c>
      <c r="AS12" s="64">
        <v>14763</v>
      </c>
      <c r="AT12" s="64"/>
      <c r="AU12" s="102">
        <f t="shared" si="3"/>
        <v>189348.25697</v>
      </c>
      <c r="AV12" s="64">
        <v>0</v>
      </c>
      <c r="AW12" s="57"/>
      <c r="AX12" s="58"/>
      <c r="AY12" s="64"/>
      <c r="AZ12" s="57"/>
      <c r="BA12" s="58"/>
      <c r="BB12" s="58"/>
      <c r="BC12" s="57"/>
      <c r="BD12" s="147"/>
      <c r="BE12" s="61"/>
      <c r="BF12" s="74"/>
      <c r="BG12" s="148">
        <f t="shared" si="4"/>
        <v>0</v>
      </c>
      <c r="BH12" s="148"/>
      <c r="BI12" s="148"/>
      <c r="BJ12" s="148"/>
      <c r="BK12" s="56">
        <v>0</v>
      </c>
      <c r="BL12" s="68">
        <v>0</v>
      </c>
      <c r="BM12" s="56">
        <f>BK12*BL12</f>
        <v>0</v>
      </c>
      <c r="BN12" s="57">
        <f t="shared" si="35"/>
        <v>0</v>
      </c>
      <c r="BO12" s="147">
        <f t="shared" si="28"/>
        <v>0</v>
      </c>
      <c r="BP12" s="47">
        <f t="shared" si="5"/>
        <v>11</v>
      </c>
      <c r="BQ12" s="57">
        <v>94</v>
      </c>
      <c r="BR12" s="147">
        <f t="shared" si="29"/>
        <v>1034</v>
      </c>
      <c r="BS12" s="100">
        <v>19</v>
      </c>
      <c r="BT12" s="57">
        <v>1900</v>
      </c>
      <c r="BU12" s="57">
        <v>26.4</v>
      </c>
      <c r="BV12" s="147">
        <f t="shared" si="30"/>
        <v>2401.6</v>
      </c>
      <c r="BW12" s="52">
        <f t="shared" si="36"/>
        <v>19</v>
      </c>
      <c r="BX12" s="57">
        <v>25</v>
      </c>
      <c r="BY12" s="147">
        <f t="shared" si="31"/>
        <v>475</v>
      </c>
      <c r="BZ12" s="112"/>
      <c r="CA12" s="113">
        <v>0</v>
      </c>
      <c r="CB12" s="112"/>
      <c r="CC12" s="113">
        <v>0</v>
      </c>
      <c r="CD12" s="150">
        <f t="shared" si="32"/>
        <v>0</v>
      </c>
      <c r="CE12" s="148">
        <v>0</v>
      </c>
      <c r="CF12" s="148">
        <v>0</v>
      </c>
      <c r="CG12" s="112"/>
      <c r="CH12" s="113"/>
      <c r="CI12" s="113"/>
      <c r="CJ12" s="113"/>
      <c r="CK12" s="151">
        <f t="shared" si="33"/>
        <v>0</v>
      </c>
      <c r="CL12" s="94">
        <f t="shared" si="37"/>
        <v>193258.85697</v>
      </c>
    </row>
    <row r="13" spans="1:90" ht="21.75" customHeight="1">
      <c r="A13" s="54">
        <v>9</v>
      </c>
      <c r="B13" s="49" t="s">
        <v>34</v>
      </c>
      <c r="C13" s="111"/>
      <c r="D13" s="59">
        <v>0</v>
      </c>
      <c r="E13" s="59">
        <f>SUM(C13*1355)</f>
        <v>0</v>
      </c>
      <c r="F13" s="91">
        <f t="shared" si="7"/>
        <v>0</v>
      </c>
      <c r="G13" s="95">
        <v>88</v>
      </c>
      <c r="H13" s="57">
        <v>2123</v>
      </c>
      <c r="I13" s="90">
        <f t="shared" si="8"/>
        <v>186824</v>
      </c>
      <c r="J13" s="95">
        <v>4</v>
      </c>
      <c r="K13" s="57">
        <v>10774</v>
      </c>
      <c r="L13" s="92">
        <f t="shared" si="0"/>
        <v>43096</v>
      </c>
      <c r="M13" s="95">
        <v>65</v>
      </c>
      <c r="N13" s="71">
        <v>2123</v>
      </c>
      <c r="O13" s="92">
        <f t="shared" si="1"/>
        <v>137995</v>
      </c>
      <c r="P13" s="95">
        <v>3</v>
      </c>
      <c r="Q13" s="71">
        <v>10774</v>
      </c>
      <c r="R13" s="92">
        <f t="shared" si="9"/>
        <v>32322</v>
      </c>
      <c r="S13" s="50"/>
      <c r="T13" s="73"/>
      <c r="U13" s="90">
        <f t="shared" si="10"/>
        <v>0</v>
      </c>
      <c r="V13" s="50"/>
      <c r="W13" s="57"/>
      <c r="X13" s="90">
        <f t="shared" si="11"/>
        <v>0</v>
      </c>
      <c r="Y13" s="51"/>
      <c r="Z13" s="57"/>
      <c r="AA13" s="58">
        <f t="shared" si="12"/>
        <v>0</v>
      </c>
      <c r="AB13" s="50"/>
      <c r="AC13" s="57"/>
      <c r="AD13" s="58">
        <f t="shared" si="13"/>
        <v>0</v>
      </c>
      <c r="AE13" s="58">
        <f t="shared" si="14"/>
        <v>0</v>
      </c>
      <c r="AF13" s="147">
        <f t="shared" si="15"/>
        <v>0</v>
      </c>
      <c r="AG13" s="50"/>
      <c r="AH13" s="58">
        <f t="shared" si="16"/>
        <v>0</v>
      </c>
      <c r="AI13" s="47"/>
      <c r="AJ13" s="58">
        <f t="shared" si="17"/>
        <v>0</v>
      </c>
      <c r="AK13" s="57">
        <f t="shared" si="18"/>
        <v>0</v>
      </c>
      <c r="AL13" s="147">
        <f t="shared" si="19"/>
        <v>0</v>
      </c>
      <c r="AM13" s="107">
        <f t="shared" si="2"/>
        <v>153</v>
      </c>
      <c r="AN13" s="90">
        <v>50630</v>
      </c>
      <c r="AO13" s="89">
        <f t="shared" si="20"/>
        <v>450867</v>
      </c>
      <c r="AP13" s="58">
        <f t="shared" si="21"/>
        <v>22994.216999999997</v>
      </c>
      <c r="AQ13" s="176">
        <f t="shared" si="22"/>
        <v>473861.217</v>
      </c>
      <c r="AR13" s="174">
        <f t="shared" si="34"/>
        <v>459645.38049</v>
      </c>
      <c r="AS13" s="64"/>
      <c r="AT13" s="64"/>
      <c r="AU13" s="102">
        <f t="shared" si="3"/>
        <v>459645.38049</v>
      </c>
      <c r="AV13" s="64">
        <v>111</v>
      </c>
      <c r="AW13" s="57">
        <v>927</v>
      </c>
      <c r="AX13" s="58">
        <f t="shared" si="23"/>
        <v>102897</v>
      </c>
      <c r="AY13" s="64">
        <v>5</v>
      </c>
      <c r="AZ13" s="57">
        <v>2371</v>
      </c>
      <c r="BA13" s="58">
        <f t="shared" si="24"/>
        <v>11855</v>
      </c>
      <c r="BB13" s="58">
        <f t="shared" si="25"/>
        <v>114752</v>
      </c>
      <c r="BC13" s="57">
        <f t="shared" si="26"/>
        <v>5852.352</v>
      </c>
      <c r="BD13" s="147">
        <f t="shared" si="27"/>
        <v>120604.352</v>
      </c>
      <c r="BE13" s="61"/>
      <c r="BF13" s="74"/>
      <c r="BG13" s="148">
        <f t="shared" si="4"/>
        <v>0</v>
      </c>
      <c r="BH13" s="148"/>
      <c r="BI13" s="148"/>
      <c r="BJ13" s="148"/>
      <c r="BK13" s="56">
        <v>0</v>
      </c>
      <c r="BL13" s="68">
        <v>0</v>
      </c>
      <c r="BM13" s="56">
        <f>BK13*BL13</f>
        <v>0</v>
      </c>
      <c r="BN13" s="57">
        <f t="shared" si="35"/>
        <v>0</v>
      </c>
      <c r="BO13" s="147">
        <f t="shared" si="28"/>
        <v>0</v>
      </c>
      <c r="BP13" s="47">
        <f t="shared" si="5"/>
        <v>88</v>
      </c>
      <c r="BQ13" s="57">
        <v>94</v>
      </c>
      <c r="BR13" s="147">
        <f t="shared" si="29"/>
        <v>8272</v>
      </c>
      <c r="BS13" s="100">
        <v>153</v>
      </c>
      <c r="BT13" s="57">
        <v>1900</v>
      </c>
      <c r="BU13" s="57">
        <v>26.4</v>
      </c>
      <c r="BV13" s="147">
        <f t="shared" si="30"/>
        <v>5939.2</v>
      </c>
      <c r="BW13" s="52">
        <f t="shared" si="36"/>
        <v>153</v>
      </c>
      <c r="BX13" s="57">
        <v>25</v>
      </c>
      <c r="BY13" s="147">
        <f t="shared" si="31"/>
        <v>3825</v>
      </c>
      <c r="BZ13" s="112"/>
      <c r="CA13" s="113">
        <v>0</v>
      </c>
      <c r="CB13" s="112"/>
      <c r="CC13" s="113">
        <v>0</v>
      </c>
      <c r="CD13" s="150">
        <f t="shared" si="32"/>
        <v>0</v>
      </c>
      <c r="CE13" s="148">
        <v>0</v>
      </c>
      <c r="CF13" s="148">
        <v>0</v>
      </c>
      <c r="CG13" s="112"/>
      <c r="CH13" s="113"/>
      <c r="CI13" s="113"/>
      <c r="CJ13" s="113"/>
      <c r="CK13" s="151">
        <f t="shared" si="33"/>
        <v>0</v>
      </c>
      <c r="CL13" s="94">
        <f t="shared" si="37"/>
        <v>598285.9324899999</v>
      </c>
    </row>
    <row r="14" spans="1:90" ht="21.75" customHeight="1">
      <c r="A14" s="60">
        <v>10</v>
      </c>
      <c r="B14" s="49" t="s">
        <v>35</v>
      </c>
      <c r="C14" s="111"/>
      <c r="D14" s="59">
        <v>0</v>
      </c>
      <c r="E14" s="59">
        <f>SUM(C14*1355)</f>
        <v>0</v>
      </c>
      <c r="F14" s="91">
        <f t="shared" si="7"/>
        <v>0</v>
      </c>
      <c r="G14" s="95">
        <v>20</v>
      </c>
      <c r="H14" s="57">
        <v>2123</v>
      </c>
      <c r="I14" s="90">
        <f t="shared" si="8"/>
        <v>42460</v>
      </c>
      <c r="J14" s="95">
        <v>3</v>
      </c>
      <c r="K14" s="57">
        <v>10774</v>
      </c>
      <c r="L14" s="92">
        <f t="shared" si="0"/>
        <v>32322</v>
      </c>
      <c r="M14" s="95">
        <v>28</v>
      </c>
      <c r="N14" s="71">
        <v>2123</v>
      </c>
      <c r="O14" s="92">
        <f t="shared" si="1"/>
        <v>59444</v>
      </c>
      <c r="P14" s="95">
        <v>3</v>
      </c>
      <c r="Q14" s="71">
        <v>10774</v>
      </c>
      <c r="R14" s="92">
        <f t="shared" si="9"/>
        <v>32322</v>
      </c>
      <c r="S14" s="50"/>
      <c r="T14" s="73"/>
      <c r="U14" s="90">
        <f t="shared" si="10"/>
        <v>0</v>
      </c>
      <c r="V14" s="50"/>
      <c r="W14" s="57"/>
      <c r="X14" s="90">
        <f t="shared" si="11"/>
        <v>0</v>
      </c>
      <c r="Y14" s="51"/>
      <c r="Z14" s="57"/>
      <c r="AA14" s="58">
        <f t="shared" si="12"/>
        <v>0</v>
      </c>
      <c r="AB14" s="50"/>
      <c r="AC14" s="57"/>
      <c r="AD14" s="58">
        <f t="shared" si="13"/>
        <v>0</v>
      </c>
      <c r="AE14" s="58">
        <f t="shared" si="14"/>
        <v>0</v>
      </c>
      <c r="AF14" s="147">
        <f t="shared" si="15"/>
        <v>0</v>
      </c>
      <c r="AG14" s="50"/>
      <c r="AH14" s="58">
        <f t="shared" si="16"/>
        <v>0</v>
      </c>
      <c r="AI14" s="47"/>
      <c r="AJ14" s="58">
        <f t="shared" si="17"/>
        <v>0</v>
      </c>
      <c r="AK14" s="57">
        <f t="shared" si="18"/>
        <v>0</v>
      </c>
      <c r="AL14" s="147">
        <f t="shared" si="19"/>
        <v>0</v>
      </c>
      <c r="AM14" s="107">
        <f t="shared" si="2"/>
        <v>48</v>
      </c>
      <c r="AN14" s="90">
        <v>50630</v>
      </c>
      <c r="AO14" s="89">
        <f>F14+I14+L14+O14+R14+U14+X14+AN14</f>
        <v>217178</v>
      </c>
      <c r="AP14" s="58">
        <f t="shared" si="21"/>
        <v>11076.078</v>
      </c>
      <c r="AQ14" s="176">
        <f>AO14+AP14</f>
        <v>228254.078</v>
      </c>
      <c r="AR14" s="174">
        <f t="shared" si="34"/>
        <v>221406.45566</v>
      </c>
      <c r="AS14" s="64">
        <v>37296</v>
      </c>
      <c r="AT14" s="64"/>
      <c r="AU14" s="102">
        <f t="shared" si="3"/>
        <v>258702.45566</v>
      </c>
      <c r="AV14" s="64">
        <v>20</v>
      </c>
      <c r="AW14" s="57">
        <v>927</v>
      </c>
      <c r="AX14" s="58">
        <f t="shared" si="23"/>
        <v>18540</v>
      </c>
      <c r="AY14" s="64">
        <v>1</v>
      </c>
      <c r="AZ14" s="57">
        <v>2371</v>
      </c>
      <c r="BA14" s="58">
        <f t="shared" si="24"/>
        <v>2371</v>
      </c>
      <c r="BB14" s="58">
        <f t="shared" si="25"/>
        <v>20911</v>
      </c>
      <c r="BC14" s="57">
        <f t="shared" si="26"/>
        <v>1066.461</v>
      </c>
      <c r="BD14" s="147">
        <f t="shared" si="27"/>
        <v>21977.461</v>
      </c>
      <c r="BE14" s="61"/>
      <c r="BF14" s="74"/>
      <c r="BG14" s="148">
        <f t="shared" si="4"/>
        <v>0</v>
      </c>
      <c r="BH14" s="148"/>
      <c r="BI14" s="148"/>
      <c r="BJ14" s="148"/>
      <c r="BK14" s="56">
        <v>0</v>
      </c>
      <c r="BL14" s="68">
        <v>0</v>
      </c>
      <c r="BM14" s="56">
        <v>1</v>
      </c>
      <c r="BN14" s="57">
        <v>495</v>
      </c>
      <c r="BO14" s="147">
        <f t="shared" si="28"/>
        <v>495</v>
      </c>
      <c r="BP14" s="47">
        <f t="shared" si="5"/>
        <v>20</v>
      </c>
      <c r="BQ14" s="57">
        <v>94</v>
      </c>
      <c r="BR14" s="147">
        <f t="shared" si="29"/>
        <v>1880</v>
      </c>
      <c r="BS14" s="100">
        <v>48</v>
      </c>
      <c r="BT14" s="57">
        <v>1900</v>
      </c>
      <c r="BU14" s="57">
        <v>26.4</v>
      </c>
      <c r="BV14" s="147">
        <f t="shared" si="30"/>
        <v>3167.2</v>
      </c>
      <c r="BW14" s="52">
        <f t="shared" si="36"/>
        <v>48</v>
      </c>
      <c r="BX14" s="57">
        <v>25</v>
      </c>
      <c r="BY14" s="147">
        <f t="shared" si="31"/>
        <v>1200</v>
      </c>
      <c r="BZ14" s="112"/>
      <c r="CA14" s="113">
        <v>0</v>
      </c>
      <c r="CB14" s="112"/>
      <c r="CC14" s="113">
        <v>0</v>
      </c>
      <c r="CD14" s="150">
        <f t="shared" si="32"/>
        <v>0</v>
      </c>
      <c r="CE14" s="148">
        <v>0</v>
      </c>
      <c r="CF14" s="148">
        <v>0</v>
      </c>
      <c r="CG14" s="112"/>
      <c r="CH14" s="113"/>
      <c r="CI14" s="113"/>
      <c r="CJ14" s="113"/>
      <c r="CK14" s="151">
        <f t="shared" si="33"/>
        <v>0</v>
      </c>
      <c r="CL14" s="94">
        <f t="shared" si="37"/>
        <v>287422.11666</v>
      </c>
    </row>
    <row r="15" spans="1:90" s="130" customFormat="1" ht="21.75" customHeight="1">
      <c r="A15" s="100"/>
      <c r="B15" s="49" t="s">
        <v>1</v>
      </c>
      <c r="C15" s="100">
        <v>10</v>
      </c>
      <c r="D15" s="58">
        <v>6148</v>
      </c>
      <c r="E15" s="58"/>
      <c r="F15" s="90">
        <f>SUM(F5:F14)</f>
        <v>37188</v>
      </c>
      <c r="G15" s="100">
        <f>SUM(G5:G14)</f>
        <v>723</v>
      </c>
      <c r="H15" s="58"/>
      <c r="I15" s="90">
        <f>SUM(I5:I14)</f>
        <v>1534929</v>
      </c>
      <c r="J15" s="100">
        <f>SUM(J5:J14)</f>
        <v>45</v>
      </c>
      <c r="K15" s="58"/>
      <c r="L15" s="92">
        <f>SUM(L5:L14)</f>
        <v>484830</v>
      </c>
      <c r="M15" s="100">
        <f>SUM(M5:M14)</f>
        <v>568</v>
      </c>
      <c r="N15" s="63"/>
      <c r="O15" s="92">
        <f>SUM(O5:O14)</f>
        <v>1205864</v>
      </c>
      <c r="P15" s="100">
        <f>SUM(P5:P14)</f>
        <v>33</v>
      </c>
      <c r="Q15" s="63"/>
      <c r="R15" s="92">
        <f>SUM(R5:R14)</f>
        <v>355542</v>
      </c>
      <c r="S15" s="100">
        <f>SUM(S5:S14)</f>
        <v>230</v>
      </c>
      <c r="T15" s="63"/>
      <c r="U15" s="90">
        <f>SUM(U5:U14)</f>
        <v>488290</v>
      </c>
      <c r="V15" s="100">
        <v>11</v>
      </c>
      <c r="W15" s="58"/>
      <c r="X15" s="90">
        <f>SUM(X5:X14)</f>
        <v>118514</v>
      </c>
      <c r="Y15" s="70">
        <f>SUM(Y5:Y14)</f>
        <v>22</v>
      </c>
      <c r="Z15" s="65"/>
      <c r="AA15" s="65">
        <f>SUM(AA5:AA14)</f>
        <v>90772</v>
      </c>
      <c r="AB15" s="99">
        <v>1</v>
      </c>
      <c r="AC15" s="65"/>
      <c r="AD15" s="65">
        <f>SUM(AD5:AD14)</f>
        <v>10774</v>
      </c>
      <c r="AE15" s="65">
        <f>SUM(AE5:AE14)</f>
        <v>5178.846</v>
      </c>
      <c r="AF15" s="148">
        <f>SUM(AF5:AF14)</f>
        <v>106724.846</v>
      </c>
      <c r="AG15" s="99">
        <f>SUM(AG5:AG14)</f>
        <v>70</v>
      </c>
      <c r="AH15" s="65">
        <f>SUM(AH5:AH14)</f>
        <v>264390</v>
      </c>
      <c r="AI15" s="84">
        <v>3</v>
      </c>
      <c r="AJ15" s="65">
        <f>SUM(AJ5:AJ14)</f>
        <v>43179</v>
      </c>
      <c r="AK15" s="65">
        <f>SUM(AK5:AK14)</f>
        <v>15686.018999999998</v>
      </c>
      <c r="AL15" s="148">
        <f>SUM(AL5:AL14)</f>
        <v>323255.019</v>
      </c>
      <c r="AM15" s="88">
        <f>SUM(AM5:AM14)</f>
        <v>1521</v>
      </c>
      <c r="AN15" s="91">
        <f>AN5+AN6+AN7+AN8+AN9+AN10+AN11+AN12+AN13+AN14</f>
        <v>506300</v>
      </c>
      <c r="AO15" s="93">
        <f>SUM(AO5:AO14)</f>
        <v>4731457</v>
      </c>
      <c r="AP15" s="65">
        <f>SUM(AP5:AP14)</f>
        <v>241304.307</v>
      </c>
      <c r="AQ15" s="177">
        <f>SUM(AQ5:AQ14)</f>
        <v>4972761.307</v>
      </c>
      <c r="AR15" s="175">
        <f>SUM(AR5:AR14)</f>
        <v>4823578.46779</v>
      </c>
      <c r="AS15" s="101">
        <f>SUM(AS6:AS14)</f>
        <v>124320</v>
      </c>
      <c r="AT15" s="101">
        <v>24864</v>
      </c>
      <c r="AU15" s="102">
        <f t="shared" si="3"/>
        <v>4972762.46779</v>
      </c>
      <c r="AV15" s="103">
        <f>SUM(AV5:AV14)</f>
        <v>682</v>
      </c>
      <c r="AW15" s="58"/>
      <c r="AX15" s="58">
        <f>SUM(AX5:AX14)</f>
        <v>632214</v>
      </c>
      <c r="AY15" s="103">
        <f>SUM(AY5:AY14)</f>
        <v>33</v>
      </c>
      <c r="AZ15" s="58"/>
      <c r="BA15" s="58">
        <f>SUM(BA5:BA14)</f>
        <v>78243</v>
      </c>
      <c r="BB15" s="58">
        <f>SUM(BB5:BB14)</f>
        <v>710457</v>
      </c>
      <c r="BC15" s="58">
        <f>SUM(BC5:BC14)</f>
        <v>36233.307</v>
      </c>
      <c r="BD15" s="147">
        <f>SUM(BD5:BD14)</f>
        <v>746690.3069999999</v>
      </c>
      <c r="BE15" s="103"/>
      <c r="BF15" s="58"/>
      <c r="BG15" s="147">
        <f>SUM(BG5:BG14)</f>
        <v>5131</v>
      </c>
      <c r="BH15" s="147"/>
      <c r="BI15" s="147"/>
      <c r="BJ15" s="147">
        <f>SUM(BJ5:BJ14)</f>
        <v>6780</v>
      </c>
      <c r="BK15" s="69">
        <f>SUM(BK5:BK14)</f>
        <v>12</v>
      </c>
      <c r="BL15" s="65">
        <f>SUM(BL5:BL14)</f>
        <v>44988</v>
      </c>
      <c r="BM15" s="69">
        <f>SUM(BM6:BM14)</f>
        <v>30</v>
      </c>
      <c r="BN15" s="65">
        <f>SUM(BN5:BN14)</f>
        <v>14850</v>
      </c>
      <c r="BO15" s="148">
        <f>SUM(BO5:BO14)</f>
        <v>59838</v>
      </c>
      <c r="BP15" s="69">
        <f>SUM(BP5:BP14)</f>
        <v>723</v>
      </c>
      <c r="BQ15" s="65"/>
      <c r="BR15" s="148">
        <f>SUM(BR5:BR14)</f>
        <v>67962</v>
      </c>
      <c r="BS15" s="101">
        <f>SUM(BS5:BS14)</f>
        <v>1613</v>
      </c>
      <c r="BT15" s="65">
        <f>SUM(BT5:BT14)</f>
        <v>19000</v>
      </c>
      <c r="BU15" s="65"/>
      <c r="BV15" s="148">
        <f>SUM(BV5:BV14)</f>
        <v>61583.19999999999</v>
      </c>
      <c r="BW15" s="101">
        <f>SUM(BW5:BW14)</f>
        <v>1613</v>
      </c>
      <c r="BX15" s="65"/>
      <c r="BY15" s="148">
        <f>SUM(BY5:BY14)</f>
        <v>40325</v>
      </c>
      <c r="BZ15" s="118">
        <f>SUM(BZ6:BZ14)</f>
        <v>252</v>
      </c>
      <c r="CA15" s="119"/>
      <c r="CB15" s="118">
        <f>SUM(CB5:CB14)</f>
        <v>70</v>
      </c>
      <c r="CC15" s="119"/>
      <c r="CD15" s="151">
        <f>SUM(CD5:CD14)</f>
        <v>28714</v>
      </c>
      <c r="CE15" s="148">
        <f>SUM(CE5:CE14)</f>
        <v>80579</v>
      </c>
      <c r="CF15" s="148">
        <f>SUM(CF5:CF14)</f>
        <v>6033</v>
      </c>
      <c r="CG15" s="118">
        <f>SUM(CG6:CG14)</f>
        <v>252</v>
      </c>
      <c r="CH15" s="119"/>
      <c r="CI15" s="119"/>
      <c r="CJ15" s="119"/>
      <c r="CK15" s="151">
        <f>SUM(CK5:CK14)</f>
        <v>24920</v>
      </c>
      <c r="CL15" s="94">
        <f>F15+I15+L15+O15+R15+U15+X15+AA15+AD15+AE15+AH15+AJ15+AK15+AN15+AP15+AX15+BA15+BC15+BG15+BL15+BN15+BR15+BV15+BY15+CD15+CE15+CF15+CK15+BJ15</f>
        <v>6531296.6790000005</v>
      </c>
    </row>
    <row r="16" ht="12.75">
      <c r="R16" s="196"/>
    </row>
    <row r="24" ht="12.75">
      <c r="D24" s="132"/>
    </row>
  </sheetData>
  <sheetProtection/>
  <mergeCells count="31">
    <mergeCell ref="CG3:CK3"/>
    <mergeCell ref="F3:F4"/>
    <mergeCell ref="AR3:AT3"/>
    <mergeCell ref="AQ3:AQ4"/>
    <mergeCell ref="Y3:AF3"/>
    <mergeCell ref="CL3:CL4"/>
    <mergeCell ref="BE3:BG3"/>
    <mergeCell ref="BP3:BR3"/>
    <mergeCell ref="CE3:CE4"/>
    <mergeCell ref="BZ3:CD3"/>
    <mergeCell ref="BW3:BY3"/>
    <mergeCell ref="AG3:AL3"/>
    <mergeCell ref="CF3:CF4"/>
    <mergeCell ref="BH3:BJ3"/>
    <mergeCell ref="A3:A4"/>
    <mergeCell ref="B3:B4"/>
    <mergeCell ref="G3:L3"/>
    <mergeCell ref="M3:R3"/>
    <mergeCell ref="S3:X3"/>
    <mergeCell ref="E3:E4"/>
    <mergeCell ref="D3:D4"/>
    <mergeCell ref="AM3:AO3"/>
    <mergeCell ref="C3:C4"/>
    <mergeCell ref="AU3:AU4"/>
    <mergeCell ref="BS3:BV3"/>
    <mergeCell ref="B1:CF1"/>
    <mergeCell ref="AV3:BD3"/>
    <mergeCell ref="BK2:BN2"/>
    <mergeCell ref="BK3:BL3"/>
    <mergeCell ref="BM3:BN3"/>
    <mergeCell ref="AP3:AP4"/>
  </mergeCells>
  <printOptions/>
  <pageMargins left="0.11811023622047245" right="0.11811023622047245" top="0.15748031496062992" bottom="0.15748031496062992" header="0" footer="0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3.140625" style="25" customWidth="1"/>
    <col min="2" max="2" width="26.140625" style="25" customWidth="1"/>
    <col min="3" max="3" width="3.57421875" style="25" hidden="1" customWidth="1"/>
    <col min="4" max="4" width="3.7109375" style="25" hidden="1" customWidth="1"/>
    <col min="5" max="5" width="4.57421875" style="25" hidden="1" customWidth="1"/>
    <col min="6" max="6" width="5.8515625" style="25" hidden="1" customWidth="1"/>
    <col min="7" max="7" width="3.7109375" style="25" customWidth="1"/>
    <col min="8" max="8" width="4.57421875" style="25" customWidth="1"/>
    <col min="9" max="10" width="6.28125" style="25" customWidth="1"/>
    <col min="11" max="11" width="5.57421875" style="25" customWidth="1"/>
    <col min="12" max="12" width="4.28125" style="25" customWidth="1"/>
    <col min="13" max="13" width="4.57421875" style="25" customWidth="1"/>
    <col min="14" max="14" width="5.8515625" style="25" customWidth="1"/>
    <col min="15" max="15" width="3.28125" style="25" customWidth="1"/>
    <col min="16" max="16" width="4.28125" style="25" customWidth="1"/>
    <col min="17" max="17" width="5.8515625" style="25" customWidth="1"/>
    <col min="18" max="18" width="3.7109375" style="25" customWidth="1"/>
    <col min="19" max="19" width="5.00390625" style="25" customWidth="1"/>
    <col min="20" max="20" width="6.7109375" style="25" customWidth="1"/>
    <col min="21" max="21" width="6.28125" style="25" customWidth="1"/>
    <col min="22" max="22" width="5.00390625" style="25" customWidth="1"/>
    <col min="23" max="23" width="6.140625" style="25" customWidth="1"/>
    <col min="24" max="24" width="4.28125" style="25" customWidth="1"/>
    <col min="25" max="25" width="5.7109375" style="25" customWidth="1"/>
    <col min="26" max="26" width="5.28125" style="25" customWidth="1"/>
    <col min="27" max="27" width="4.7109375" style="25" customWidth="1"/>
    <col min="28" max="28" width="5.28125" style="25" customWidth="1"/>
    <col min="29" max="29" width="8.140625" style="25" hidden="1" customWidth="1"/>
    <col min="30" max="30" width="24.140625" style="25" customWidth="1"/>
    <col min="31" max="16384" width="9.140625" style="25" customWidth="1"/>
  </cols>
  <sheetData>
    <row r="1" spans="3:31" ht="43.5" customHeight="1"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3" ht="15" customHeight="1">
      <c r="A2" s="248"/>
      <c r="B2" s="249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1"/>
      <c r="AD2" s="250"/>
      <c r="AE2" s="250"/>
      <c r="AF2" s="250"/>
      <c r="AG2" s="250"/>
    </row>
    <row r="3" spans="1:33" s="19" customFormat="1" ht="50.25" customHeight="1">
      <c r="A3" s="248"/>
      <c r="B3" s="249"/>
      <c r="N3" s="26"/>
      <c r="Q3" s="26"/>
      <c r="U3" s="26"/>
      <c r="Y3" s="26"/>
      <c r="AB3" s="26"/>
      <c r="AC3" s="251"/>
      <c r="AG3" s="26"/>
    </row>
    <row r="4" spans="2:33" ht="11.25" customHeight="1" hidden="1">
      <c r="B4" s="27"/>
      <c r="G4" s="19"/>
      <c r="H4" s="19"/>
      <c r="I4" s="19"/>
      <c r="J4" s="19"/>
      <c r="K4" s="19"/>
      <c r="L4" s="19"/>
      <c r="M4" s="19"/>
      <c r="N4" s="26"/>
      <c r="O4" s="19"/>
      <c r="P4" s="19"/>
      <c r="Q4" s="26"/>
      <c r="R4" s="19"/>
      <c r="S4" s="19"/>
      <c r="T4" s="19"/>
      <c r="U4" s="26"/>
      <c r="V4" s="27"/>
      <c r="W4" s="29"/>
      <c r="X4" s="29"/>
      <c r="Y4" s="33"/>
      <c r="AB4" s="31"/>
      <c r="AC4" s="31"/>
      <c r="AD4" s="19"/>
      <c r="AE4" s="19"/>
      <c r="AF4" s="19"/>
      <c r="AG4" s="26"/>
    </row>
    <row r="5" spans="7:33" s="19" customFormat="1" ht="11.25" customHeight="1" hidden="1">
      <c r="G5" s="29"/>
      <c r="H5" s="29"/>
      <c r="I5" s="29"/>
      <c r="J5" s="29"/>
      <c r="K5" s="29"/>
      <c r="L5" s="29"/>
      <c r="M5" s="29"/>
      <c r="N5" s="33"/>
      <c r="O5" s="29"/>
      <c r="P5" s="29"/>
      <c r="Q5" s="33"/>
      <c r="R5" s="29"/>
      <c r="S5" s="29"/>
      <c r="T5" s="29"/>
      <c r="U5" s="33"/>
      <c r="W5" s="29"/>
      <c r="X5" s="29"/>
      <c r="Y5" s="33"/>
      <c r="AB5" s="30"/>
      <c r="AC5" s="30"/>
      <c r="AD5" s="29"/>
      <c r="AE5" s="29"/>
      <c r="AF5" s="29"/>
      <c r="AG5" s="33"/>
    </row>
    <row r="6" spans="2:33" ht="11.25" customHeight="1" hidden="1">
      <c r="B6" s="3"/>
      <c r="G6" s="4"/>
      <c r="H6" s="4"/>
      <c r="I6" s="4"/>
      <c r="J6" s="4"/>
      <c r="K6" s="4"/>
      <c r="L6" s="4"/>
      <c r="M6" s="4"/>
      <c r="N6" s="18"/>
      <c r="O6" s="4"/>
      <c r="P6" s="4"/>
      <c r="Q6" s="18"/>
      <c r="R6" s="4"/>
      <c r="S6" s="4"/>
      <c r="T6" s="4"/>
      <c r="U6" s="18"/>
      <c r="V6" s="3"/>
      <c r="W6" s="29"/>
      <c r="X6" s="29"/>
      <c r="Y6" s="33"/>
      <c r="AB6" s="31"/>
      <c r="AC6" s="31"/>
      <c r="AD6" s="4"/>
      <c r="AE6" s="4"/>
      <c r="AF6" s="4"/>
      <c r="AG6" s="18"/>
    </row>
    <row r="7" spans="2:33" ht="11.25" customHeight="1" hidden="1">
      <c r="B7" s="28"/>
      <c r="N7" s="31"/>
      <c r="Q7" s="31"/>
      <c r="T7" s="29"/>
      <c r="U7" s="31"/>
      <c r="V7" s="3"/>
      <c r="W7" s="29"/>
      <c r="X7" s="29"/>
      <c r="Y7" s="33"/>
      <c r="AB7" s="31"/>
      <c r="AC7" s="31"/>
      <c r="AG7" s="31"/>
    </row>
    <row r="8" spans="2:33" s="19" customFormat="1" ht="11.25" customHeight="1" hidden="1">
      <c r="B8" s="28"/>
      <c r="G8" s="29"/>
      <c r="H8" s="25"/>
      <c r="I8" s="25"/>
      <c r="J8" s="25"/>
      <c r="K8" s="29"/>
      <c r="L8" s="29"/>
      <c r="M8" s="25"/>
      <c r="N8" s="33"/>
      <c r="P8" s="25"/>
      <c r="Q8" s="31"/>
      <c r="R8" s="25"/>
      <c r="S8" s="25"/>
      <c r="T8" s="29"/>
      <c r="U8" s="31"/>
      <c r="W8" s="29"/>
      <c r="X8" s="29"/>
      <c r="Y8" s="33"/>
      <c r="AB8" s="30"/>
      <c r="AC8" s="30"/>
      <c r="AD8" s="29"/>
      <c r="AE8" s="29"/>
      <c r="AF8" s="25"/>
      <c r="AG8" s="33"/>
    </row>
    <row r="9" spans="2:33" ht="11.25" customHeight="1" hidden="1">
      <c r="B9" s="28"/>
      <c r="N9" s="31"/>
      <c r="Q9" s="31"/>
      <c r="T9" s="29"/>
      <c r="U9" s="31"/>
      <c r="V9" s="19"/>
      <c r="W9" s="29"/>
      <c r="X9" s="29"/>
      <c r="Y9" s="33"/>
      <c r="AB9" s="31"/>
      <c r="AC9" s="31"/>
      <c r="AG9" s="31"/>
    </row>
    <row r="10" spans="2:33" ht="11.25" customHeight="1" hidden="1">
      <c r="B10" s="28"/>
      <c r="N10" s="31"/>
      <c r="Q10" s="31"/>
      <c r="T10" s="29"/>
      <c r="U10" s="31"/>
      <c r="V10" s="19"/>
      <c r="W10" s="29"/>
      <c r="X10" s="29"/>
      <c r="Y10" s="33"/>
      <c r="AB10" s="31"/>
      <c r="AC10" s="31"/>
      <c r="AG10" s="31"/>
    </row>
    <row r="11" spans="1:33" ht="11.25">
      <c r="A11" s="19"/>
      <c r="B11" s="28"/>
      <c r="N11" s="31"/>
      <c r="Q11" s="31"/>
      <c r="T11" s="29"/>
      <c r="U11" s="31"/>
      <c r="V11" s="19"/>
      <c r="W11" s="29"/>
      <c r="X11" s="29"/>
      <c r="Y11" s="33"/>
      <c r="AB11" s="31"/>
      <c r="AC11" s="31"/>
      <c r="AG11" s="31"/>
    </row>
    <row r="12" spans="2:33" ht="11.25" customHeight="1" hidden="1">
      <c r="B12" s="28"/>
      <c r="K12" s="31"/>
      <c r="N12" s="31"/>
      <c r="Q12" s="31"/>
      <c r="T12" s="29"/>
      <c r="U12" s="31"/>
      <c r="V12" s="19"/>
      <c r="W12" s="29"/>
      <c r="X12" s="29"/>
      <c r="Y12" s="33"/>
      <c r="AB12" s="31"/>
      <c r="AC12" s="31"/>
      <c r="AG12" s="31"/>
    </row>
    <row r="13" spans="2:33" ht="11.25" customHeight="1" hidden="1">
      <c r="B13" s="28"/>
      <c r="K13" s="31"/>
      <c r="N13" s="31"/>
      <c r="Q13" s="31"/>
      <c r="T13" s="29"/>
      <c r="U13" s="31"/>
      <c r="V13" s="19"/>
      <c r="W13" s="29"/>
      <c r="X13" s="29"/>
      <c r="Y13" s="33"/>
      <c r="AB13" s="31"/>
      <c r="AC13" s="31"/>
      <c r="AG13" s="31"/>
    </row>
    <row r="14" spans="1:33" ht="11.25" customHeight="1" hidden="1">
      <c r="A14" s="19"/>
      <c r="B14" s="28"/>
      <c r="K14" s="31"/>
      <c r="N14" s="31"/>
      <c r="Q14" s="31"/>
      <c r="T14" s="29"/>
      <c r="U14" s="31"/>
      <c r="V14" s="19"/>
      <c r="W14" s="29"/>
      <c r="X14" s="29"/>
      <c r="Y14" s="33"/>
      <c r="AB14" s="31"/>
      <c r="AC14" s="31"/>
      <c r="AG14" s="31"/>
    </row>
    <row r="15" spans="2:33" ht="11.25" customHeight="1" hidden="1">
      <c r="B15" s="28"/>
      <c r="K15" s="31"/>
      <c r="N15" s="31"/>
      <c r="Q15" s="31"/>
      <c r="T15" s="29"/>
      <c r="U15" s="31"/>
      <c r="V15" s="19"/>
      <c r="W15" s="29"/>
      <c r="X15" s="29"/>
      <c r="Y15" s="33"/>
      <c r="AB15" s="31"/>
      <c r="AC15" s="31"/>
      <c r="AG15" s="31"/>
    </row>
    <row r="16" spans="2:33" ht="12" customHeight="1" hidden="1" thickBot="1">
      <c r="B16" s="28"/>
      <c r="K16" s="31"/>
      <c r="N16" s="31"/>
      <c r="Q16" s="31"/>
      <c r="T16" s="29"/>
      <c r="U16" s="31"/>
      <c r="V16" s="19"/>
      <c r="W16" s="29"/>
      <c r="X16" s="29"/>
      <c r="Y16" s="33"/>
      <c r="AB16" s="31"/>
      <c r="AC16" s="31"/>
      <c r="AG16" s="31"/>
    </row>
    <row r="17" spans="1:33" ht="11.25">
      <c r="A17" s="19"/>
      <c r="B17" s="1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AB17" s="31"/>
      <c r="AC17" s="31"/>
      <c r="AD17" s="29"/>
      <c r="AE17" s="29"/>
      <c r="AF17" s="29"/>
      <c r="AG17" s="29"/>
    </row>
    <row r="18" ht="12" customHeight="1" hidden="1">
      <c r="B18" s="19"/>
    </row>
    <row r="19" spans="2:20" ht="15" customHeight="1">
      <c r="B19" s="248"/>
      <c r="T19" s="32"/>
    </row>
    <row r="20" spans="2:31" ht="12.75" customHeight="1">
      <c r="B20" s="248"/>
      <c r="K20" s="44"/>
      <c r="L20" s="44"/>
      <c r="M20" s="44"/>
      <c r="AE20" s="32"/>
    </row>
    <row r="21" spans="2:20" ht="11.25">
      <c r="B21" s="43"/>
      <c r="Q21" s="19"/>
      <c r="R21" s="19"/>
      <c r="S21" s="19"/>
      <c r="T21" s="45"/>
    </row>
    <row r="22" spans="2:20" ht="11.25">
      <c r="B22" s="3"/>
      <c r="Q22" s="19"/>
      <c r="R22" s="19"/>
      <c r="S22" s="19"/>
      <c r="T22" s="46"/>
    </row>
    <row r="23" spans="1:20" ht="1.5" customHeight="1">
      <c r="A23" s="248"/>
      <c r="B23" s="249"/>
      <c r="T23" s="45"/>
    </row>
    <row r="24" spans="1:2" ht="11.25">
      <c r="A24" s="248"/>
      <c r="B24" s="249"/>
    </row>
    <row r="25" spans="1:31" ht="15" customHeight="1">
      <c r="A25" s="248"/>
      <c r="B25" s="249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48"/>
      <c r="AD25" s="42"/>
      <c r="AE25" s="248"/>
    </row>
    <row r="26" spans="1:31" s="19" customFormat="1" ht="50.25" customHeight="1">
      <c r="A26" s="248"/>
      <c r="B26" s="249"/>
      <c r="AC26" s="248"/>
      <c r="AD26" s="42"/>
      <c r="AE26" s="248"/>
    </row>
    <row r="27" spans="2:31" ht="11.25" hidden="1">
      <c r="B27" s="2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7"/>
      <c r="W27" s="29"/>
      <c r="X27" s="29"/>
      <c r="Y27" s="29"/>
      <c r="AE27" s="32"/>
    </row>
    <row r="28" spans="3:25" s="19" customFormat="1" ht="11.25" hidden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W28" s="29"/>
      <c r="X28" s="29"/>
      <c r="Y28" s="29"/>
    </row>
    <row r="29" spans="2:25" ht="11.25" hidden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W29" s="29"/>
      <c r="X29" s="29"/>
      <c r="Y29" s="29"/>
    </row>
    <row r="30" spans="2:31" ht="11.25" hidden="1">
      <c r="B30" s="28"/>
      <c r="T30" s="29"/>
      <c r="V30" s="3"/>
      <c r="W30" s="29"/>
      <c r="X30" s="29"/>
      <c r="Y30" s="29"/>
      <c r="AE30" s="32"/>
    </row>
    <row r="31" spans="2:31" s="19" customFormat="1" ht="11.25" hidden="1">
      <c r="B31" s="28"/>
      <c r="C31" s="29"/>
      <c r="D31" s="29"/>
      <c r="E31" s="25"/>
      <c r="F31" s="29"/>
      <c r="G31" s="29"/>
      <c r="H31" s="25"/>
      <c r="I31" s="25"/>
      <c r="J31" s="25"/>
      <c r="K31" s="29"/>
      <c r="L31" s="29"/>
      <c r="M31" s="25"/>
      <c r="N31" s="29"/>
      <c r="P31" s="25"/>
      <c r="Q31" s="25"/>
      <c r="R31" s="25"/>
      <c r="S31" s="25"/>
      <c r="T31" s="29"/>
      <c r="U31" s="25"/>
      <c r="W31" s="29"/>
      <c r="X31" s="29"/>
      <c r="Y31" s="29"/>
      <c r="AE31" s="32"/>
    </row>
    <row r="32" spans="2:31" ht="11.25" hidden="1">
      <c r="B32" s="28"/>
      <c r="T32" s="29"/>
      <c r="V32" s="19"/>
      <c r="W32" s="29"/>
      <c r="X32" s="29"/>
      <c r="Y32" s="29"/>
      <c r="AE32" s="32"/>
    </row>
    <row r="33" spans="2:31" ht="11.25" hidden="1">
      <c r="B33" s="28"/>
      <c r="T33" s="29"/>
      <c r="V33" s="19"/>
      <c r="W33" s="29"/>
      <c r="X33" s="29"/>
      <c r="Y33" s="29"/>
      <c r="AE33" s="32"/>
    </row>
    <row r="34" spans="1:31" ht="11.25">
      <c r="A34" s="19"/>
      <c r="B34" s="28"/>
      <c r="T34" s="29"/>
      <c r="V34" s="19"/>
      <c r="W34" s="29"/>
      <c r="X34" s="29"/>
      <c r="Y34" s="29"/>
      <c r="AE34" s="32"/>
    </row>
    <row r="35" spans="2:31" ht="11.25" hidden="1">
      <c r="B35" s="28"/>
      <c r="T35" s="29"/>
      <c r="V35" s="19"/>
      <c r="W35" s="29"/>
      <c r="X35" s="29"/>
      <c r="Y35" s="29"/>
      <c r="AE35" s="32"/>
    </row>
    <row r="36" spans="2:31" ht="11.25" hidden="1">
      <c r="B36" s="28"/>
      <c r="T36" s="29"/>
      <c r="V36" s="19"/>
      <c r="W36" s="29"/>
      <c r="X36" s="29"/>
      <c r="Y36" s="29"/>
      <c r="AE36" s="32"/>
    </row>
    <row r="37" spans="1:31" ht="11.25" hidden="1">
      <c r="A37" s="19"/>
      <c r="B37" s="28"/>
      <c r="T37" s="29"/>
      <c r="V37" s="19"/>
      <c r="W37" s="29"/>
      <c r="X37" s="29"/>
      <c r="Y37" s="29"/>
      <c r="AE37" s="32"/>
    </row>
    <row r="38" spans="2:31" ht="11.25" hidden="1">
      <c r="B38" s="28"/>
      <c r="T38" s="29"/>
      <c r="V38" s="19"/>
      <c r="W38" s="29"/>
      <c r="X38" s="29"/>
      <c r="Y38" s="29"/>
      <c r="AE38" s="32"/>
    </row>
    <row r="39" spans="2:31" ht="11.25" hidden="1">
      <c r="B39" s="28"/>
      <c r="T39" s="29"/>
      <c r="V39" s="19"/>
      <c r="W39" s="29"/>
      <c r="X39" s="29"/>
      <c r="Y39" s="29"/>
      <c r="AE39" s="32"/>
    </row>
    <row r="40" spans="1:31" ht="11.25">
      <c r="A40" s="19"/>
      <c r="B40" s="19"/>
      <c r="C40" s="29"/>
      <c r="D40" s="29"/>
      <c r="E40" s="29"/>
      <c r="F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AE40" s="32"/>
    </row>
  </sheetData>
  <sheetProtection/>
  <mergeCells count="25">
    <mergeCell ref="O25:Q25"/>
    <mergeCell ref="R25:U25"/>
    <mergeCell ref="V25:Y25"/>
    <mergeCell ref="Z25:AB25"/>
    <mergeCell ref="AC25:AC26"/>
    <mergeCell ref="AE25:AE26"/>
    <mergeCell ref="C1:AE1"/>
    <mergeCell ref="AC2:AC3"/>
    <mergeCell ref="V2:Y2"/>
    <mergeCell ref="Z2:AB2"/>
    <mergeCell ref="A25:A26"/>
    <mergeCell ref="B25:B26"/>
    <mergeCell ref="C25:F25"/>
    <mergeCell ref="G25:K25"/>
    <mergeCell ref="L25:N25"/>
    <mergeCell ref="B19:B20"/>
    <mergeCell ref="A23:A24"/>
    <mergeCell ref="B23:B24"/>
    <mergeCell ref="L2:N2"/>
    <mergeCell ref="O2:Q2"/>
    <mergeCell ref="R2:U2"/>
    <mergeCell ref="AD2:AG2"/>
    <mergeCell ref="G2:K2"/>
    <mergeCell ref="A2:A3"/>
    <mergeCell ref="B2:B3"/>
  </mergeCells>
  <printOptions/>
  <pageMargins left="0.7" right="0.7" top="0.75" bottom="0.75" header="0.3" footer="0.3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"/>
  <sheetViews>
    <sheetView zoomScale="136" zoomScaleNormal="13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5" sqref="AA5"/>
    </sheetView>
  </sheetViews>
  <sheetFormatPr defaultColWidth="9.140625" defaultRowHeight="12.75"/>
  <cols>
    <col min="1" max="1" width="21.57421875" style="152" customWidth="1"/>
    <col min="2" max="2" width="12.140625" style="160" bestFit="1" customWidth="1"/>
    <col min="3" max="3" width="5.7109375" style="55" customWidth="1"/>
    <col min="4" max="5" width="12.140625" style="160" bestFit="1" customWidth="1"/>
    <col min="6" max="6" width="5.7109375" style="55" customWidth="1"/>
    <col min="7" max="7" width="9.421875" style="160" bestFit="1" customWidth="1"/>
    <col min="8" max="8" width="13.57421875" style="160" customWidth="1"/>
    <col min="9" max="9" width="5.7109375" style="55" customWidth="1"/>
    <col min="10" max="10" width="9.28125" style="55" bestFit="1" customWidth="1"/>
    <col min="11" max="11" width="11.00390625" style="55" customWidth="1"/>
    <col min="12" max="12" width="5.7109375" style="55" customWidth="1"/>
    <col min="13" max="13" width="9.28125" style="55" bestFit="1" customWidth="1"/>
    <col min="14" max="14" width="11.00390625" style="55" customWidth="1"/>
    <col min="15" max="15" width="8.7109375" style="167" customWidth="1"/>
    <col min="16" max="18" width="11.00390625" style="55" customWidth="1"/>
    <col min="19" max="19" width="5.7109375" style="55" customWidth="1"/>
    <col min="20" max="20" width="9.28125" style="55" bestFit="1" customWidth="1"/>
    <col min="21" max="22" width="11.00390625" style="55" customWidth="1"/>
    <col min="23" max="23" width="5.7109375" style="55" customWidth="1"/>
    <col min="24" max="24" width="9.28125" style="55" bestFit="1" customWidth="1"/>
    <col min="25" max="28" width="11.00390625" style="55" customWidth="1"/>
    <col min="29" max="29" width="5.7109375" style="55" customWidth="1"/>
    <col min="30" max="30" width="9.28125" style="55" bestFit="1" customWidth="1"/>
    <col min="31" max="31" width="11.00390625" style="55" customWidth="1"/>
    <col min="32" max="32" width="9.421875" style="160" bestFit="1" customWidth="1"/>
    <col min="33" max="33" width="10.8515625" style="160" customWidth="1"/>
    <col min="34" max="35" width="12.140625" style="160" customWidth="1"/>
    <col min="36" max="36" width="9.421875" style="160" bestFit="1" customWidth="1"/>
    <col min="37" max="41" width="9.421875" style="160" customWidth="1"/>
    <col min="42" max="42" width="17.7109375" style="170" customWidth="1"/>
    <col min="43" max="16384" width="9.140625" style="152" customWidth="1"/>
  </cols>
  <sheetData>
    <row r="1" spans="1:42" ht="22.5" customHeight="1">
      <c r="A1" s="276" t="s">
        <v>112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</row>
    <row r="2" spans="1:42" s="169" customFormat="1" ht="38.25" customHeight="1">
      <c r="A2" s="282" t="s">
        <v>72</v>
      </c>
      <c r="B2" s="220" t="s">
        <v>19</v>
      </c>
      <c r="C2" s="278" t="s">
        <v>78</v>
      </c>
      <c r="D2" s="279"/>
      <c r="E2" s="280"/>
      <c r="F2" s="281" t="s">
        <v>74</v>
      </c>
      <c r="G2" s="272"/>
      <c r="H2" s="273"/>
      <c r="I2" s="252" t="s">
        <v>76</v>
      </c>
      <c r="J2" s="253"/>
      <c r="K2" s="254"/>
      <c r="L2" s="255" t="s">
        <v>77</v>
      </c>
      <c r="M2" s="256"/>
      <c r="N2" s="257"/>
      <c r="O2" s="258" t="s">
        <v>91</v>
      </c>
      <c r="P2" s="258" t="s">
        <v>108</v>
      </c>
      <c r="Q2" s="258" t="s">
        <v>86</v>
      </c>
      <c r="R2" s="258" t="s">
        <v>87</v>
      </c>
      <c r="S2" s="263" t="s">
        <v>80</v>
      </c>
      <c r="T2" s="264"/>
      <c r="U2" s="265"/>
      <c r="V2" s="260" t="s">
        <v>82</v>
      </c>
      <c r="W2" s="261"/>
      <c r="X2" s="261"/>
      <c r="Y2" s="261"/>
      <c r="Z2" s="261"/>
      <c r="AA2" s="261"/>
      <c r="AB2" s="262"/>
      <c r="AC2" s="269" t="s">
        <v>28</v>
      </c>
      <c r="AD2" s="270"/>
      <c r="AE2" s="271"/>
      <c r="AF2" s="283" t="s">
        <v>92</v>
      </c>
      <c r="AG2" s="189" t="s">
        <v>109</v>
      </c>
      <c r="AH2" s="190"/>
      <c r="AI2" s="191" t="s">
        <v>110</v>
      </c>
      <c r="AJ2" s="266" t="s">
        <v>97</v>
      </c>
      <c r="AK2" s="267"/>
      <c r="AL2" s="268"/>
      <c r="AM2" s="272" t="s">
        <v>98</v>
      </c>
      <c r="AN2" s="273"/>
      <c r="AO2" s="192" t="s">
        <v>111</v>
      </c>
      <c r="AP2" s="274" t="s">
        <v>99</v>
      </c>
    </row>
    <row r="3" spans="1:42" s="157" customFormat="1" ht="48" customHeight="1">
      <c r="A3" s="221"/>
      <c r="B3" s="221"/>
      <c r="C3" s="75" t="s">
        <v>71</v>
      </c>
      <c r="D3" s="81" t="s">
        <v>39</v>
      </c>
      <c r="E3" s="81" t="s">
        <v>73</v>
      </c>
      <c r="F3" s="161" t="s">
        <v>75</v>
      </c>
      <c r="G3" s="104" t="s">
        <v>12</v>
      </c>
      <c r="H3" s="104" t="s">
        <v>5</v>
      </c>
      <c r="I3" s="82" t="s">
        <v>75</v>
      </c>
      <c r="J3" s="83" t="s">
        <v>12</v>
      </c>
      <c r="K3" s="83" t="s">
        <v>5</v>
      </c>
      <c r="L3" s="163" t="s">
        <v>75</v>
      </c>
      <c r="M3" s="145" t="s">
        <v>12</v>
      </c>
      <c r="N3" s="145" t="s">
        <v>5</v>
      </c>
      <c r="O3" s="259"/>
      <c r="P3" s="259"/>
      <c r="Q3" s="259"/>
      <c r="R3" s="259"/>
      <c r="S3" s="164" t="s">
        <v>81</v>
      </c>
      <c r="T3" s="164" t="s">
        <v>12</v>
      </c>
      <c r="U3" s="164" t="s">
        <v>5</v>
      </c>
      <c r="V3" s="165" t="s">
        <v>83</v>
      </c>
      <c r="W3" s="165" t="s">
        <v>6</v>
      </c>
      <c r="X3" s="165" t="s">
        <v>84</v>
      </c>
      <c r="Y3" s="165" t="s">
        <v>5</v>
      </c>
      <c r="Z3" s="165" t="s">
        <v>88</v>
      </c>
      <c r="AA3" s="165" t="s">
        <v>89</v>
      </c>
      <c r="AB3" s="165" t="s">
        <v>90</v>
      </c>
      <c r="AC3" s="97" t="s">
        <v>30</v>
      </c>
      <c r="AD3" s="97" t="s">
        <v>84</v>
      </c>
      <c r="AE3" s="97" t="s">
        <v>5</v>
      </c>
      <c r="AF3" s="284"/>
      <c r="AG3" s="187" t="s">
        <v>118</v>
      </c>
      <c r="AH3" s="188" t="s">
        <v>119</v>
      </c>
      <c r="AI3" s="188"/>
      <c r="AJ3" s="78" t="s">
        <v>94</v>
      </c>
      <c r="AK3" s="78" t="s">
        <v>95</v>
      </c>
      <c r="AL3" s="78" t="s">
        <v>120</v>
      </c>
      <c r="AM3" s="104" t="s">
        <v>95</v>
      </c>
      <c r="AN3" s="104" t="s">
        <v>120</v>
      </c>
      <c r="AO3" s="193">
        <v>6000</v>
      </c>
      <c r="AP3" s="275"/>
    </row>
    <row r="4" spans="1:42" s="154" customFormat="1" ht="19.5" customHeight="1">
      <c r="A4" s="153" t="s">
        <v>18</v>
      </c>
      <c r="B4" s="71">
        <v>50700</v>
      </c>
      <c r="C4" s="66">
        <v>9</v>
      </c>
      <c r="D4" s="71">
        <v>14393</v>
      </c>
      <c r="E4" s="71">
        <f>C4*D4</f>
        <v>129537</v>
      </c>
      <c r="F4" s="158">
        <v>36</v>
      </c>
      <c r="G4" s="71">
        <v>3239</v>
      </c>
      <c r="H4" s="71">
        <f>F4*G4</f>
        <v>116604</v>
      </c>
      <c r="I4" s="158">
        <v>66</v>
      </c>
      <c r="J4" s="71">
        <v>3777</v>
      </c>
      <c r="K4" s="71">
        <f>I4*J4</f>
        <v>249282</v>
      </c>
      <c r="L4" s="158">
        <v>40</v>
      </c>
      <c r="M4" s="71">
        <v>2827</v>
      </c>
      <c r="N4" s="71">
        <f>L4*M4</f>
        <v>113080</v>
      </c>
      <c r="O4" s="52">
        <f>F4+I4+L4</f>
        <v>142</v>
      </c>
      <c r="P4" s="71">
        <f>B4+E4+H4+K4+N4</f>
        <v>659203</v>
      </c>
      <c r="Q4" s="71">
        <f>P4*0.051</f>
        <v>33619.352999999996</v>
      </c>
      <c r="R4" s="71">
        <f>P4+Q4</f>
        <v>692822.353</v>
      </c>
      <c r="S4" s="158">
        <v>26</v>
      </c>
      <c r="T4" s="71">
        <v>733</v>
      </c>
      <c r="U4" s="71">
        <f>S4*T4</f>
        <v>19058</v>
      </c>
      <c r="V4" s="71">
        <v>12901</v>
      </c>
      <c r="W4" s="158">
        <v>18</v>
      </c>
      <c r="X4" s="71">
        <v>2311</v>
      </c>
      <c r="Y4" s="71">
        <f>W4*X4</f>
        <v>41598</v>
      </c>
      <c r="Z4" s="71">
        <f>V4+Y4</f>
        <v>54499</v>
      </c>
      <c r="AA4" s="71">
        <f>Z4*0.051</f>
        <v>2779.4489999999996</v>
      </c>
      <c r="AB4" s="71">
        <f>Z4+AA4</f>
        <v>57278.449</v>
      </c>
      <c r="AC4" s="158">
        <v>4</v>
      </c>
      <c r="AD4" s="71">
        <v>495</v>
      </c>
      <c r="AE4" s="71">
        <f>AC4*AD4</f>
        <v>1980</v>
      </c>
      <c r="AF4" s="63">
        <f>O4*25</f>
        <v>3550</v>
      </c>
      <c r="AG4" s="186">
        <v>13774</v>
      </c>
      <c r="AH4" s="63">
        <v>15720</v>
      </c>
      <c r="AI4" s="186">
        <v>29494</v>
      </c>
      <c r="AJ4" s="71">
        <v>1900</v>
      </c>
      <c r="AK4" s="71">
        <v>26.4</v>
      </c>
      <c r="AL4" s="71">
        <f>AJ4+(AK4*O4)</f>
        <v>5648.799999999999</v>
      </c>
      <c r="AM4" s="71">
        <v>50</v>
      </c>
      <c r="AN4" s="71">
        <f>AM4*O4</f>
        <v>7100</v>
      </c>
      <c r="AO4" s="71">
        <v>6000</v>
      </c>
      <c r="AP4" s="171">
        <f>R4+U4+AB4+AE4+AF4+AI4+AL4+AN4</f>
        <v>816931.6020000001</v>
      </c>
    </row>
    <row r="5" spans="1:42" s="156" customFormat="1" ht="11.25">
      <c r="A5" s="155" t="s">
        <v>70</v>
      </c>
      <c r="B5" s="159">
        <f>SUM(B4)</f>
        <v>50700</v>
      </c>
      <c r="C5" s="99"/>
      <c r="D5" s="159"/>
      <c r="E5" s="159">
        <f>SUM(E4)</f>
        <v>129537</v>
      </c>
      <c r="F5" s="99"/>
      <c r="G5" s="159"/>
      <c r="H5" s="159">
        <f>SUM(H4)</f>
        <v>116604</v>
      </c>
      <c r="I5" s="99"/>
      <c r="J5" s="159"/>
      <c r="K5" s="159">
        <f>SUM(K4)</f>
        <v>249282</v>
      </c>
      <c r="L5" s="99"/>
      <c r="M5" s="159"/>
      <c r="N5" s="159">
        <f>SUM(N4)</f>
        <v>113080</v>
      </c>
      <c r="O5" s="166"/>
      <c r="P5" s="159">
        <f>SUM(P4)</f>
        <v>659203</v>
      </c>
      <c r="Q5" s="159">
        <f>SUM(Q4)</f>
        <v>33619.352999999996</v>
      </c>
      <c r="R5" s="159">
        <f>SUM(R4)</f>
        <v>692822.353</v>
      </c>
      <c r="S5" s="99"/>
      <c r="T5" s="159"/>
      <c r="U5" s="159">
        <f>SUM(U4)</f>
        <v>19058</v>
      </c>
      <c r="V5" s="159"/>
      <c r="W5" s="99"/>
      <c r="X5" s="159"/>
      <c r="Y5" s="159">
        <f>SUM(Y4)</f>
        <v>41598</v>
      </c>
      <c r="Z5" s="159">
        <f>SUM(Z4)</f>
        <v>54499</v>
      </c>
      <c r="AA5" s="159">
        <f>SUM(AA4)</f>
        <v>2779.4489999999996</v>
      </c>
      <c r="AB5" s="159">
        <f>SUM(AB4)</f>
        <v>57278.449</v>
      </c>
      <c r="AC5" s="99"/>
      <c r="AD5" s="159"/>
      <c r="AE5" s="159">
        <f>SUM(AE4)</f>
        <v>1980</v>
      </c>
      <c r="AF5" s="159">
        <f>SUM(AF4)</f>
        <v>3550</v>
      </c>
      <c r="AG5" s="159">
        <v>13774</v>
      </c>
      <c r="AH5" s="159">
        <f>SUM(AH4)</f>
        <v>15720</v>
      </c>
      <c r="AI5" s="159">
        <v>29494</v>
      </c>
      <c r="AJ5" s="159"/>
      <c r="AK5" s="159">
        <f>SUM(AK4)</f>
        <v>26.4</v>
      </c>
      <c r="AL5" s="159">
        <f>SUM(AL4)</f>
        <v>5648.799999999999</v>
      </c>
      <c r="AM5" s="159">
        <f>SUM(AM4)</f>
        <v>50</v>
      </c>
      <c r="AN5" s="159">
        <f>SUM(AN4)</f>
        <v>7100</v>
      </c>
      <c r="AO5" s="186">
        <v>6000</v>
      </c>
      <c r="AP5" s="172">
        <f>SUM(AP4)</f>
        <v>816931.6020000001</v>
      </c>
    </row>
    <row r="8" spans="15:21" ht="12.75">
      <c r="O8" s="168"/>
      <c r="U8" s="55" t="s">
        <v>101</v>
      </c>
    </row>
    <row r="17" ht="26.25" customHeight="1"/>
  </sheetData>
  <sheetProtection/>
  <mergeCells count="18">
    <mergeCell ref="AJ2:AL2"/>
    <mergeCell ref="AC2:AE2"/>
    <mergeCell ref="AM2:AN2"/>
    <mergeCell ref="AP2:AP3"/>
    <mergeCell ref="A1:AP1"/>
    <mergeCell ref="C2:E2"/>
    <mergeCell ref="F2:H2"/>
    <mergeCell ref="B2:B3"/>
    <mergeCell ref="A2:A3"/>
    <mergeCell ref="AF2:AF3"/>
    <mergeCell ref="I2:K2"/>
    <mergeCell ref="L2:N2"/>
    <mergeCell ref="P2:P3"/>
    <mergeCell ref="V2:AB2"/>
    <mergeCell ref="S2:U2"/>
    <mergeCell ref="Q2:Q3"/>
    <mergeCell ref="R2:R3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4"/>
  <sheetViews>
    <sheetView zoomScalePageLayoutView="0" workbookViewId="0" topLeftCell="AR1">
      <selection activeCell="BF7" sqref="BF7"/>
    </sheetView>
  </sheetViews>
  <sheetFormatPr defaultColWidth="9.140625" defaultRowHeight="12.75"/>
  <cols>
    <col min="1" max="1" width="3.140625" style="120" customWidth="1"/>
    <col min="2" max="2" width="22.00390625" style="131" customWidth="1"/>
    <col min="3" max="3" width="4.28125" style="120" customWidth="1"/>
    <col min="4" max="6" width="9.28125" style="121" bestFit="1" customWidth="1"/>
    <col min="7" max="7" width="4.28125" style="133" customWidth="1"/>
    <col min="8" max="8" width="11.7109375" style="121" customWidth="1"/>
    <col min="9" max="9" width="12.7109375" style="121" customWidth="1"/>
    <col min="10" max="10" width="4.28125" style="133" customWidth="1"/>
    <col min="11" max="11" width="11.7109375" style="121" customWidth="1"/>
    <col min="12" max="12" width="11.7109375" style="120" customWidth="1"/>
    <col min="13" max="13" width="4.28125" style="133" customWidth="1"/>
    <col min="14" max="14" width="11.7109375" style="133" customWidth="1"/>
    <col min="15" max="15" width="11.7109375" style="120" customWidth="1"/>
    <col min="16" max="16" width="4.28125" style="133" customWidth="1"/>
    <col min="17" max="17" width="11.7109375" style="133" customWidth="1"/>
    <col min="18" max="18" width="11.7109375" style="120" customWidth="1"/>
    <col min="19" max="19" width="4.28125" style="120" customWidth="1"/>
    <col min="20" max="20" width="11.7109375" style="134" customWidth="1"/>
    <col min="21" max="21" width="11.7109375" style="135" customWidth="1"/>
    <col min="22" max="22" width="4.28125" style="120" customWidth="1"/>
    <col min="23" max="24" width="11.7109375" style="135" customWidth="1"/>
    <col min="25" max="25" width="4.28125" style="121" customWidth="1"/>
    <col min="26" max="26" width="9.7109375" style="135" customWidth="1"/>
    <col min="27" max="27" width="11.7109375" style="136" customWidth="1"/>
    <col min="28" max="28" width="4.28125" style="120" customWidth="1"/>
    <col min="29" max="29" width="9.7109375" style="135" customWidth="1"/>
    <col min="30" max="30" width="11.7109375" style="136" customWidth="1"/>
    <col min="31" max="31" width="11.7109375" style="135" customWidth="1"/>
    <col min="32" max="32" width="11.7109375" style="136" customWidth="1"/>
    <col min="33" max="33" width="4.421875" style="120" customWidth="1"/>
    <col min="34" max="34" width="11.7109375" style="136" customWidth="1"/>
    <col min="35" max="35" width="4.28125" style="137" customWidth="1"/>
    <col min="36" max="36" width="11.7109375" style="136" customWidth="1"/>
    <col min="37" max="37" width="11.7109375" style="135" customWidth="1"/>
    <col min="38" max="38" width="11.7109375" style="136" customWidth="1"/>
    <col min="39" max="39" width="8.7109375" style="138" customWidth="1"/>
    <col min="40" max="40" width="11.7109375" style="136" customWidth="1"/>
    <col min="41" max="41" width="12.421875" style="135" bestFit="1" customWidth="1"/>
    <col min="42" max="42" width="11.7109375" style="135" customWidth="1"/>
    <col min="43" max="43" width="12.7109375" style="135" bestFit="1" customWidth="1"/>
    <col min="44" max="44" width="12.8515625" style="135" customWidth="1"/>
    <col min="45" max="45" width="9.7109375" style="120" customWidth="1"/>
    <col min="46" max="46" width="7.8515625" style="120" customWidth="1"/>
    <col min="47" max="47" width="11.57421875" style="120" customWidth="1"/>
    <col min="48" max="48" width="11.7109375" style="121" customWidth="1"/>
    <col min="49" max="49" width="4.28125" style="120" customWidth="1"/>
    <col min="50" max="50" width="9.7109375" style="135" customWidth="1"/>
    <col min="51" max="51" width="11.7109375" style="135" customWidth="1"/>
    <col min="52" max="52" width="4.28125" style="120" customWidth="1"/>
    <col min="53" max="53" width="9.7109375" style="135" customWidth="1"/>
    <col min="54" max="55" width="11.7109375" style="135" customWidth="1"/>
    <col min="56" max="57" width="11.7109375" style="121" customWidth="1"/>
    <col min="58" max="58" width="4.28125" style="133" customWidth="1"/>
    <col min="59" max="59" width="10.57421875" style="139" customWidth="1"/>
    <col min="60" max="60" width="11.7109375" style="139" customWidth="1"/>
    <col min="61" max="61" width="4.28125" style="140" customWidth="1"/>
    <col min="62" max="62" width="11.7109375" style="139" customWidth="1"/>
    <col min="63" max="63" width="5.57421875" style="140" customWidth="1"/>
    <col min="64" max="65" width="11.7109375" style="135" customWidth="1"/>
    <col min="66" max="66" width="4.28125" style="121" customWidth="1"/>
    <col min="67" max="67" width="8.7109375" style="135" customWidth="1"/>
    <col min="68" max="68" width="10.28125" style="135" bestFit="1" customWidth="1"/>
    <col min="69" max="69" width="6.140625" style="120" bestFit="1" customWidth="1"/>
    <col min="70" max="70" width="10.28125" style="135" bestFit="1" customWidth="1"/>
    <col min="71" max="71" width="8.7109375" style="135" customWidth="1"/>
    <col min="72" max="72" width="12.421875" style="135" bestFit="1" customWidth="1"/>
    <col min="73" max="73" width="6.140625" style="138" customWidth="1"/>
    <col min="74" max="74" width="8.7109375" style="135" customWidth="1"/>
    <col min="75" max="75" width="11.7109375" style="135" customWidth="1"/>
    <col min="76" max="76" width="6.140625" style="141" customWidth="1"/>
    <col min="77" max="77" width="8.7109375" style="142" customWidth="1"/>
    <col min="78" max="78" width="6.140625" style="141" customWidth="1"/>
    <col min="79" max="79" width="8.7109375" style="142" customWidth="1"/>
    <col min="80" max="80" width="11.7109375" style="142" customWidth="1"/>
    <col min="81" max="82" width="11.7109375" style="135" customWidth="1"/>
    <col min="83" max="83" width="6.140625" style="141" customWidth="1"/>
    <col min="84" max="84" width="8.7109375" style="142" customWidth="1"/>
    <col min="85" max="85" width="11.7109375" style="142" customWidth="1"/>
    <col min="86" max="86" width="12.421875" style="135" bestFit="1" customWidth="1"/>
    <col min="87" max="16384" width="9.140625" style="121" customWidth="1"/>
  </cols>
  <sheetData>
    <row r="1" spans="1:86" ht="20.25" customHeight="1">
      <c r="A1" s="60"/>
      <c r="B1" s="285" t="s">
        <v>21</v>
      </c>
      <c r="C1" s="285"/>
      <c r="D1" s="285"/>
      <c r="E1" s="285"/>
      <c r="F1" s="285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8"/>
      <c r="BJ1" s="288"/>
      <c r="BK1" s="288"/>
      <c r="BL1" s="288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121"/>
      <c r="CF1" s="121"/>
      <c r="CG1" s="121"/>
      <c r="CH1" s="121"/>
    </row>
    <row r="2" spans="1:86" ht="33.75" customHeight="1">
      <c r="A2" s="143"/>
      <c r="B2" s="122"/>
      <c r="C2" s="122"/>
      <c r="D2" s="122"/>
      <c r="E2" s="122"/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4"/>
      <c r="AF2" s="123"/>
      <c r="AG2" s="123"/>
      <c r="AH2" s="122"/>
      <c r="AI2" s="123"/>
      <c r="AJ2" s="123"/>
      <c r="AK2" s="124"/>
      <c r="AL2" s="123"/>
      <c r="AM2" s="123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218" t="s">
        <v>28</v>
      </c>
      <c r="BJ2" s="218"/>
      <c r="BK2" s="218"/>
      <c r="BL2" s="218"/>
      <c r="BM2" s="146"/>
      <c r="BN2" s="124"/>
      <c r="BO2" s="125"/>
      <c r="BP2" s="125"/>
      <c r="BR2" s="125"/>
      <c r="BS2" s="125"/>
      <c r="BT2" s="125"/>
      <c r="BU2" s="126"/>
      <c r="BV2" s="125"/>
      <c r="BW2" s="125"/>
      <c r="BX2" s="127"/>
      <c r="BY2" s="128"/>
      <c r="BZ2" s="127"/>
      <c r="CA2" s="128"/>
      <c r="CB2" s="128"/>
      <c r="CC2" s="125"/>
      <c r="CD2" s="125"/>
      <c r="CE2" s="127"/>
      <c r="CF2" s="128"/>
      <c r="CG2" s="128"/>
      <c r="CH2" s="125"/>
    </row>
    <row r="3" spans="1:86" s="133" customFormat="1" ht="39" customHeight="1">
      <c r="A3" s="228" t="s">
        <v>7</v>
      </c>
      <c r="B3" s="229" t="s">
        <v>0</v>
      </c>
      <c r="C3" s="205" t="s">
        <v>22</v>
      </c>
      <c r="D3" s="205" t="s">
        <v>38</v>
      </c>
      <c r="E3" s="205" t="s">
        <v>42</v>
      </c>
      <c r="F3" s="229" t="s">
        <v>43</v>
      </c>
      <c r="G3" s="230" t="s">
        <v>8</v>
      </c>
      <c r="H3" s="230"/>
      <c r="I3" s="230"/>
      <c r="J3" s="230"/>
      <c r="K3" s="230"/>
      <c r="L3" s="230"/>
      <c r="M3" s="231" t="s">
        <v>9</v>
      </c>
      <c r="N3" s="231"/>
      <c r="O3" s="231"/>
      <c r="P3" s="231"/>
      <c r="Q3" s="231"/>
      <c r="R3" s="231"/>
      <c r="S3" s="232" t="s">
        <v>10</v>
      </c>
      <c r="T3" s="232"/>
      <c r="U3" s="232"/>
      <c r="V3" s="232"/>
      <c r="W3" s="232"/>
      <c r="X3" s="232"/>
      <c r="Y3" s="237" t="s">
        <v>11</v>
      </c>
      <c r="Z3" s="238"/>
      <c r="AA3" s="238"/>
      <c r="AB3" s="238"/>
      <c r="AC3" s="238"/>
      <c r="AD3" s="238"/>
      <c r="AE3" s="203"/>
      <c r="AF3" s="204"/>
      <c r="AG3" s="222" t="s">
        <v>44</v>
      </c>
      <c r="AH3" s="223"/>
      <c r="AI3" s="223"/>
      <c r="AJ3" s="223"/>
      <c r="AK3" s="223"/>
      <c r="AL3" s="204"/>
      <c r="AM3" s="202" t="s">
        <v>48</v>
      </c>
      <c r="AN3" s="203"/>
      <c r="AO3" s="204"/>
      <c r="AP3" s="220" t="s">
        <v>49</v>
      </c>
      <c r="AQ3" s="235" t="s">
        <v>16</v>
      </c>
      <c r="AR3" s="233" t="s">
        <v>50</v>
      </c>
      <c r="AS3" s="234"/>
      <c r="AT3" s="234"/>
      <c r="AU3" s="234"/>
      <c r="AV3" s="206" t="s">
        <v>51</v>
      </c>
      <c r="AW3" s="212" t="s">
        <v>4</v>
      </c>
      <c r="AX3" s="212"/>
      <c r="AY3" s="212"/>
      <c r="AZ3" s="212"/>
      <c r="BA3" s="212"/>
      <c r="BB3" s="212"/>
      <c r="BC3" s="212"/>
      <c r="BD3" s="212"/>
      <c r="BE3" s="213"/>
      <c r="BF3" s="240" t="s">
        <v>29</v>
      </c>
      <c r="BG3" s="240"/>
      <c r="BH3" s="240"/>
      <c r="BI3" s="218" t="s">
        <v>61</v>
      </c>
      <c r="BJ3" s="219"/>
      <c r="BK3" s="218" t="s">
        <v>62</v>
      </c>
      <c r="BL3" s="219"/>
      <c r="BM3" s="178"/>
      <c r="BN3" s="241" t="s">
        <v>55</v>
      </c>
      <c r="BO3" s="241"/>
      <c r="BP3" s="241"/>
      <c r="BQ3" s="207" t="s">
        <v>24</v>
      </c>
      <c r="BR3" s="208"/>
      <c r="BS3" s="208"/>
      <c r="BT3" s="208"/>
      <c r="BU3" s="244" t="s">
        <v>27</v>
      </c>
      <c r="BV3" s="244"/>
      <c r="BW3" s="244"/>
      <c r="BX3" s="243" t="s">
        <v>25</v>
      </c>
      <c r="BY3" s="243"/>
      <c r="BZ3" s="243"/>
      <c r="CA3" s="243"/>
      <c r="CB3" s="243"/>
      <c r="CC3" s="224" t="s">
        <v>26</v>
      </c>
      <c r="CD3" s="224" t="s">
        <v>59</v>
      </c>
      <c r="CE3" s="245" t="s">
        <v>65</v>
      </c>
      <c r="CF3" s="246"/>
      <c r="CG3" s="247"/>
      <c r="CH3" s="239" t="s">
        <v>66</v>
      </c>
    </row>
    <row r="4" spans="1:86" s="129" customFormat="1" ht="78.75">
      <c r="A4" s="228"/>
      <c r="B4" s="229"/>
      <c r="C4" s="205"/>
      <c r="D4" s="205"/>
      <c r="E4" s="205"/>
      <c r="F4" s="229"/>
      <c r="G4" s="76" t="s">
        <v>41</v>
      </c>
      <c r="H4" s="76" t="s">
        <v>12</v>
      </c>
      <c r="I4" s="96" t="s">
        <v>13</v>
      </c>
      <c r="J4" s="76" t="s">
        <v>60</v>
      </c>
      <c r="K4" s="76" t="s">
        <v>12</v>
      </c>
      <c r="L4" s="96" t="s">
        <v>13</v>
      </c>
      <c r="M4" s="77" t="s">
        <v>41</v>
      </c>
      <c r="N4" s="77" t="s">
        <v>12</v>
      </c>
      <c r="O4" s="97" t="s">
        <v>13</v>
      </c>
      <c r="P4" s="77" t="s">
        <v>40</v>
      </c>
      <c r="Q4" s="77" t="s">
        <v>12</v>
      </c>
      <c r="R4" s="97" t="s">
        <v>13</v>
      </c>
      <c r="S4" s="98" t="s">
        <v>41</v>
      </c>
      <c r="T4" s="79" t="s">
        <v>12</v>
      </c>
      <c r="U4" s="80" t="s">
        <v>13</v>
      </c>
      <c r="V4" s="98" t="s">
        <v>40</v>
      </c>
      <c r="W4" s="80" t="s">
        <v>12</v>
      </c>
      <c r="X4" s="80" t="s">
        <v>13</v>
      </c>
      <c r="Y4" s="75" t="s">
        <v>41</v>
      </c>
      <c r="Z4" s="81" t="s">
        <v>12</v>
      </c>
      <c r="AA4" s="81" t="s">
        <v>13</v>
      </c>
      <c r="AB4" s="75" t="s">
        <v>40</v>
      </c>
      <c r="AC4" s="81" t="s">
        <v>12</v>
      </c>
      <c r="AD4" s="81" t="s">
        <v>13</v>
      </c>
      <c r="AE4" s="81" t="s">
        <v>67</v>
      </c>
      <c r="AF4" s="179" t="s">
        <v>2</v>
      </c>
      <c r="AG4" s="82" t="s">
        <v>41</v>
      </c>
      <c r="AH4" s="83" t="s">
        <v>103</v>
      </c>
      <c r="AI4" s="82" t="s">
        <v>45</v>
      </c>
      <c r="AJ4" s="83" t="s">
        <v>46</v>
      </c>
      <c r="AK4" s="83" t="s">
        <v>67</v>
      </c>
      <c r="AL4" s="179" t="s">
        <v>2</v>
      </c>
      <c r="AM4" s="107" t="s">
        <v>30</v>
      </c>
      <c r="AN4" s="108" t="s">
        <v>15</v>
      </c>
      <c r="AO4" s="108" t="s">
        <v>47</v>
      </c>
      <c r="AP4" s="221"/>
      <c r="AQ4" s="236"/>
      <c r="AR4" s="173">
        <v>0.96</v>
      </c>
      <c r="AS4" s="173">
        <v>0.035</v>
      </c>
      <c r="AT4" s="173">
        <v>0.005</v>
      </c>
      <c r="AU4" s="173">
        <v>0.005</v>
      </c>
      <c r="AV4" s="206"/>
      <c r="AW4" s="86" t="s">
        <v>6</v>
      </c>
      <c r="AX4" s="104" t="s">
        <v>52</v>
      </c>
      <c r="AY4" s="104" t="s">
        <v>5</v>
      </c>
      <c r="AZ4" s="86" t="s">
        <v>17</v>
      </c>
      <c r="BA4" s="104" t="s">
        <v>52</v>
      </c>
      <c r="BB4" s="104" t="s">
        <v>2</v>
      </c>
      <c r="BC4" s="104" t="s">
        <v>100</v>
      </c>
      <c r="BD4" s="86" t="s">
        <v>53</v>
      </c>
      <c r="BE4" s="87" t="s">
        <v>54</v>
      </c>
      <c r="BF4" s="85" t="s">
        <v>6</v>
      </c>
      <c r="BG4" s="106" t="s">
        <v>52</v>
      </c>
      <c r="BH4" s="179" t="s">
        <v>5</v>
      </c>
      <c r="BI4" s="107" t="s">
        <v>6</v>
      </c>
      <c r="BJ4" s="108" t="s">
        <v>13</v>
      </c>
      <c r="BK4" s="107" t="s">
        <v>6</v>
      </c>
      <c r="BL4" s="108" t="s">
        <v>13</v>
      </c>
      <c r="BM4" s="179" t="s">
        <v>68</v>
      </c>
      <c r="BN4" s="86" t="s">
        <v>6</v>
      </c>
      <c r="BO4" s="104" t="s">
        <v>52</v>
      </c>
      <c r="BP4" s="179" t="s">
        <v>5</v>
      </c>
      <c r="BQ4" s="109" t="s">
        <v>6</v>
      </c>
      <c r="BR4" s="110" t="s">
        <v>52</v>
      </c>
      <c r="BS4" s="110" t="s">
        <v>56</v>
      </c>
      <c r="BT4" s="179" t="s">
        <v>5</v>
      </c>
      <c r="BU4" s="107" t="s">
        <v>6</v>
      </c>
      <c r="BV4" s="108" t="s">
        <v>56</v>
      </c>
      <c r="BW4" s="179" t="s">
        <v>5</v>
      </c>
      <c r="BX4" s="116" t="s">
        <v>57</v>
      </c>
      <c r="BY4" s="117" t="s">
        <v>52</v>
      </c>
      <c r="BZ4" s="116" t="s">
        <v>58</v>
      </c>
      <c r="CA4" s="117" t="s">
        <v>52</v>
      </c>
      <c r="CB4" s="149" t="s">
        <v>5</v>
      </c>
      <c r="CC4" s="242"/>
      <c r="CD4" s="224"/>
      <c r="CE4" s="116" t="s">
        <v>64</v>
      </c>
      <c r="CF4" s="117" t="s">
        <v>63</v>
      </c>
      <c r="CG4" s="149" t="s">
        <v>5</v>
      </c>
      <c r="CH4" s="239"/>
    </row>
    <row r="5" spans="1:86" ht="21.75" customHeight="1">
      <c r="A5" s="60">
        <v>1</v>
      </c>
      <c r="B5" s="48" t="s">
        <v>31</v>
      </c>
      <c r="C5" s="53"/>
      <c r="D5" s="57">
        <v>0</v>
      </c>
      <c r="E5" s="59">
        <f>SUM(C5*1355)</f>
        <v>0</v>
      </c>
      <c r="F5" s="91">
        <f>SUM(D5+E5)</f>
        <v>0</v>
      </c>
      <c r="G5" s="180">
        <v>15</v>
      </c>
      <c r="H5" s="57">
        <v>1611</v>
      </c>
      <c r="I5" s="90">
        <f>G5*H5</f>
        <v>24165</v>
      </c>
      <c r="J5" s="180">
        <v>2</v>
      </c>
      <c r="K5" s="57">
        <v>8176</v>
      </c>
      <c r="L5" s="92">
        <f aca="true" t="shared" si="0" ref="L5:L14">J5*K5</f>
        <v>16352</v>
      </c>
      <c r="M5" s="180">
        <v>10</v>
      </c>
      <c r="N5" s="71">
        <v>1611</v>
      </c>
      <c r="O5" s="92">
        <f aca="true" t="shared" si="1" ref="O5:O14">M5*N5</f>
        <v>16110</v>
      </c>
      <c r="P5" s="180">
        <v>2</v>
      </c>
      <c r="Q5" s="71">
        <v>8176</v>
      </c>
      <c r="R5" s="92">
        <f>P5*Q5</f>
        <v>16352</v>
      </c>
      <c r="S5" s="53"/>
      <c r="T5" s="73"/>
      <c r="U5" s="90">
        <f>S5*T5</f>
        <v>0</v>
      </c>
      <c r="V5" s="53"/>
      <c r="W5" s="57"/>
      <c r="X5" s="90">
        <f>V5*W5</f>
        <v>0</v>
      </c>
      <c r="Y5" s="51"/>
      <c r="Z5" s="57"/>
      <c r="AA5" s="58">
        <f>Y5*Z5</f>
        <v>0</v>
      </c>
      <c r="AB5" s="50"/>
      <c r="AC5" s="57"/>
      <c r="AD5" s="58">
        <f>AB5*AC5</f>
        <v>0</v>
      </c>
      <c r="AE5" s="58">
        <f>(AA5+AD5)*0.051</f>
        <v>0</v>
      </c>
      <c r="AF5" s="147">
        <f>AA5+AD5+AE5</f>
        <v>0</v>
      </c>
      <c r="AG5" s="50"/>
      <c r="AH5" s="58">
        <f>AG5*2853</f>
        <v>0</v>
      </c>
      <c r="AI5" s="47"/>
      <c r="AJ5" s="58">
        <f>AI5*10934</f>
        <v>0</v>
      </c>
      <c r="AK5" s="57">
        <f>(AH5+AJ5)*0.051</f>
        <v>0</v>
      </c>
      <c r="AL5" s="147">
        <f>AH5+AJ5+AK5</f>
        <v>0</v>
      </c>
      <c r="AM5" s="107">
        <f aca="true" t="shared" si="2" ref="AM5:AM14">G5+M5+S5</f>
        <v>25</v>
      </c>
      <c r="AN5" s="90">
        <v>38400</v>
      </c>
      <c r="AO5" s="89">
        <f>F5+I5+L5+O5+R5+U5+X5+AN5</f>
        <v>111379</v>
      </c>
      <c r="AP5" s="58">
        <f>AO5*0.051</f>
        <v>5680.329</v>
      </c>
      <c r="AQ5" s="176">
        <f>AO5+AP5</f>
        <v>117059.329</v>
      </c>
      <c r="AR5" s="174">
        <f>AQ5*$AR$4</f>
        <v>112376.95584</v>
      </c>
      <c r="AS5" s="64">
        <v>16627</v>
      </c>
      <c r="AT5" s="64"/>
      <c r="AU5" s="64"/>
      <c r="AV5" s="102">
        <f aca="true" t="shared" si="3" ref="AV5:AV15">SUM(AR5:AU5)</f>
        <v>129003.95584</v>
      </c>
      <c r="AW5" s="50">
        <v>14</v>
      </c>
      <c r="AX5" s="57">
        <v>688</v>
      </c>
      <c r="AY5" s="58">
        <f>AW5*AX5</f>
        <v>9632</v>
      </c>
      <c r="AZ5" s="50">
        <v>1</v>
      </c>
      <c r="BA5" s="57">
        <v>1758</v>
      </c>
      <c r="BB5" s="58">
        <f>AZ5*BA5</f>
        <v>1758</v>
      </c>
      <c r="BC5" s="58">
        <f>AY5+BB5</f>
        <v>11390</v>
      </c>
      <c r="BD5" s="57">
        <f>BC5*0.051</f>
        <v>580.89</v>
      </c>
      <c r="BE5" s="147">
        <f>BC5+BD5</f>
        <v>11970.89</v>
      </c>
      <c r="BF5" s="182"/>
      <c r="BG5" s="68"/>
      <c r="BH5" s="148">
        <f>BF5*BG5</f>
        <v>0</v>
      </c>
      <c r="BI5" s="67">
        <v>0</v>
      </c>
      <c r="BJ5" s="68">
        <v>0</v>
      </c>
      <c r="BK5" s="67">
        <v>0</v>
      </c>
      <c r="BL5" s="57">
        <f>BK5*405</f>
        <v>0</v>
      </c>
      <c r="BM5" s="147">
        <f>BJ5+BL5</f>
        <v>0</v>
      </c>
      <c r="BN5" s="47">
        <f aca="true" t="shared" si="4" ref="BN5:BN14">G5</f>
        <v>15</v>
      </c>
      <c r="BO5" s="57">
        <v>94</v>
      </c>
      <c r="BP5" s="147">
        <f>BN5*BO5</f>
        <v>1410</v>
      </c>
      <c r="BQ5" s="100">
        <v>25</v>
      </c>
      <c r="BR5" s="57">
        <v>1900</v>
      </c>
      <c r="BS5" s="57">
        <v>26.4</v>
      </c>
      <c r="BT5" s="147">
        <f>(BQ5*BS5)+BR5</f>
        <v>2560</v>
      </c>
      <c r="BU5" s="181">
        <f>G5+M5+S5+Y5</f>
        <v>25</v>
      </c>
      <c r="BV5" s="57">
        <v>25</v>
      </c>
      <c r="BW5" s="147">
        <f>BU5*BV5</f>
        <v>625</v>
      </c>
      <c r="BX5" s="112"/>
      <c r="BY5" s="113">
        <v>0</v>
      </c>
      <c r="BZ5" s="112"/>
      <c r="CA5" s="113">
        <v>0</v>
      </c>
      <c r="CB5" s="150">
        <f>(BX5*BY5)+(BZ5*CA5)</f>
        <v>0</v>
      </c>
      <c r="CC5" s="148">
        <v>22446</v>
      </c>
      <c r="CD5" s="148">
        <v>0</v>
      </c>
      <c r="CE5" s="112"/>
      <c r="CF5" s="113"/>
      <c r="CG5" s="151">
        <f>CE5*CF5</f>
        <v>0</v>
      </c>
      <c r="CH5" s="94">
        <f>SUM(AV5,BE5,BH5,BM5,BP5,BT5,BW5,CB5,CC5,CD5,CG5)</f>
        <v>168015.84584</v>
      </c>
    </row>
    <row r="6" spans="1:86" ht="21.75" customHeight="1">
      <c r="A6" s="60">
        <v>2</v>
      </c>
      <c r="B6" s="49" t="s">
        <v>3</v>
      </c>
      <c r="C6" s="111"/>
      <c r="D6" s="59">
        <v>0</v>
      </c>
      <c r="E6" s="59">
        <f aca="true" t="shared" si="5" ref="E6:E11">SUM(C6*1355)</f>
        <v>0</v>
      </c>
      <c r="F6" s="91">
        <f aca="true" t="shared" si="6" ref="F6:F14">SUM(D6+E6)</f>
        <v>0</v>
      </c>
      <c r="G6" s="182">
        <v>34</v>
      </c>
      <c r="H6" s="57">
        <v>1611</v>
      </c>
      <c r="I6" s="90">
        <f aca="true" t="shared" si="7" ref="I6:I14">G6*H6</f>
        <v>54774</v>
      </c>
      <c r="J6" s="182">
        <v>3</v>
      </c>
      <c r="K6" s="57">
        <v>8176</v>
      </c>
      <c r="L6" s="92">
        <f t="shared" si="0"/>
        <v>24528</v>
      </c>
      <c r="M6" s="182">
        <v>21</v>
      </c>
      <c r="N6" s="71">
        <v>1611</v>
      </c>
      <c r="O6" s="92">
        <f t="shared" si="1"/>
        <v>33831</v>
      </c>
      <c r="P6" s="182">
        <v>2</v>
      </c>
      <c r="Q6" s="71">
        <v>8176</v>
      </c>
      <c r="R6" s="92">
        <f aca="true" t="shared" si="8" ref="R6:R14">P6*Q6</f>
        <v>16352</v>
      </c>
      <c r="S6" s="100"/>
      <c r="T6" s="72"/>
      <c r="U6" s="90">
        <f aca="true" t="shared" si="9" ref="U6:U14">S6*T6</f>
        <v>0</v>
      </c>
      <c r="V6" s="100"/>
      <c r="W6" s="58"/>
      <c r="X6" s="90">
        <f aca="true" t="shared" si="10" ref="X6:X14">V6*W6</f>
        <v>0</v>
      </c>
      <c r="Y6" s="51"/>
      <c r="Z6" s="57"/>
      <c r="AA6" s="58">
        <f aca="true" t="shared" si="11" ref="AA6:AA14">Y6*Z6</f>
        <v>0</v>
      </c>
      <c r="AB6" s="50"/>
      <c r="AC6" s="57"/>
      <c r="AD6" s="58">
        <f aca="true" t="shared" si="12" ref="AD6:AD14">AB6*AC6</f>
        <v>0</v>
      </c>
      <c r="AE6" s="58">
        <f aca="true" t="shared" si="13" ref="AE6:AE14">(AA6+AD6)*0.051</f>
        <v>0</v>
      </c>
      <c r="AF6" s="147">
        <f aca="true" t="shared" si="14" ref="AF6:AF14">AA6+AD6+AE6</f>
        <v>0</v>
      </c>
      <c r="AG6" s="50"/>
      <c r="AH6" s="58">
        <f aca="true" t="shared" si="15" ref="AH6:AH14">AG6*2853</f>
        <v>0</v>
      </c>
      <c r="AI6" s="47"/>
      <c r="AJ6" s="58">
        <f aca="true" t="shared" si="16" ref="AJ6:AJ14">AI6*10934</f>
        <v>0</v>
      </c>
      <c r="AK6" s="57">
        <f aca="true" t="shared" si="17" ref="AK6:AK14">(AH6+AJ6)*0.051</f>
        <v>0</v>
      </c>
      <c r="AL6" s="147">
        <f aca="true" t="shared" si="18" ref="AL6:AL14">AH6+AJ6+AK6</f>
        <v>0</v>
      </c>
      <c r="AM6" s="107">
        <f t="shared" si="2"/>
        <v>55</v>
      </c>
      <c r="AN6" s="90">
        <v>38400</v>
      </c>
      <c r="AO6" s="89">
        <f aca="true" t="shared" si="19" ref="AO6:AO14">F6+I6+L6+O6+R6+U6+X6+AN6</f>
        <v>167885</v>
      </c>
      <c r="AP6" s="58">
        <f aca="true" t="shared" si="20" ref="AP6:AP14">AO6*0.051</f>
        <v>8562.135</v>
      </c>
      <c r="AQ6" s="176">
        <f aca="true" t="shared" si="21" ref="AQ6:AQ13">AO6+AP6</f>
        <v>176447.135</v>
      </c>
      <c r="AR6" s="174">
        <f>AQ6*$AR$4</f>
        <v>169389.2496</v>
      </c>
      <c r="AS6" s="64">
        <v>36580</v>
      </c>
      <c r="AT6" s="64"/>
      <c r="AU6" s="64"/>
      <c r="AV6" s="102">
        <f t="shared" si="3"/>
        <v>205969.2496</v>
      </c>
      <c r="AW6" s="64">
        <v>22</v>
      </c>
      <c r="AX6" s="57">
        <v>688</v>
      </c>
      <c r="AY6" s="58">
        <f aca="true" t="shared" si="22" ref="AY6:AY14">AW6*AX6</f>
        <v>15136</v>
      </c>
      <c r="AZ6" s="64">
        <v>1</v>
      </c>
      <c r="BA6" s="57">
        <v>1758</v>
      </c>
      <c r="BB6" s="58">
        <f aca="true" t="shared" si="23" ref="BB6:BB14">AZ6*BA6</f>
        <v>1758</v>
      </c>
      <c r="BC6" s="58">
        <f aca="true" t="shared" si="24" ref="BC6:BC14">AY6+BB6</f>
        <v>16894</v>
      </c>
      <c r="BD6" s="57">
        <f aca="true" t="shared" si="25" ref="BD6:BD14">BC6*0.051</f>
        <v>861.5939999999999</v>
      </c>
      <c r="BE6" s="147">
        <f aca="true" t="shared" si="26" ref="BE6:BE14">BC6+BD6</f>
        <v>17755.594</v>
      </c>
      <c r="BF6" s="61"/>
      <c r="BG6" s="74"/>
      <c r="BH6" s="148">
        <f aca="true" t="shared" si="27" ref="BH6:BH14">BF6*BG6</f>
        <v>0</v>
      </c>
      <c r="BI6" s="56">
        <v>0</v>
      </c>
      <c r="BJ6" s="68">
        <v>0</v>
      </c>
      <c r="BK6" s="56">
        <v>2</v>
      </c>
      <c r="BL6" s="57">
        <f aca="true" t="shared" si="28" ref="BL6:BL14">BK6*405</f>
        <v>810</v>
      </c>
      <c r="BM6" s="147">
        <f aca="true" t="shared" si="29" ref="BM6:BM14">BJ6+BL6</f>
        <v>810</v>
      </c>
      <c r="BN6" s="47">
        <f t="shared" si="4"/>
        <v>34</v>
      </c>
      <c r="BO6" s="57">
        <v>94</v>
      </c>
      <c r="BP6" s="147">
        <f aca="true" t="shared" si="30" ref="BP6:BP14">BN6*BO6</f>
        <v>3196</v>
      </c>
      <c r="BQ6" s="100">
        <v>55</v>
      </c>
      <c r="BR6" s="57">
        <v>1900</v>
      </c>
      <c r="BS6" s="57">
        <v>26.4</v>
      </c>
      <c r="BT6" s="147">
        <f aca="true" t="shared" si="31" ref="BT6:BT14">(BQ6*BS6)+BR6</f>
        <v>3352</v>
      </c>
      <c r="BU6" s="181">
        <f>G6+M6+S6+Y6</f>
        <v>55</v>
      </c>
      <c r="BV6" s="57">
        <v>25</v>
      </c>
      <c r="BW6" s="147">
        <f aca="true" t="shared" si="32" ref="BW6:BW14">BU6*BV6</f>
        <v>1375</v>
      </c>
      <c r="BX6" s="112"/>
      <c r="BY6" s="113">
        <v>0</v>
      </c>
      <c r="BZ6" s="112"/>
      <c r="CA6" s="113">
        <v>0</v>
      </c>
      <c r="CB6" s="150">
        <f aca="true" t="shared" si="33" ref="CB6:CB14">(BX6*BY6)+(BZ6*CA6)</f>
        <v>0</v>
      </c>
      <c r="CC6" s="148">
        <v>0</v>
      </c>
      <c r="CD6" s="148">
        <v>0</v>
      </c>
      <c r="CE6" s="112"/>
      <c r="CF6" s="113"/>
      <c r="CG6" s="151">
        <f aca="true" t="shared" si="34" ref="CG6:CG14">CE6*CF6</f>
        <v>0</v>
      </c>
      <c r="CH6" s="94">
        <f aca="true" t="shared" si="35" ref="CH6:CH14">SUM(AV6,BE6,BH6,BM6,BP6,BT6,BW6,CB6,CC6,CD6,CG6)</f>
        <v>232457.84360000002</v>
      </c>
    </row>
    <row r="7" spans="1:86" ht="21.75" customHeight="1">
      <c r="A7" s="54">
        <v>3</v>
      </c>
      <c r="B7" s="49" t="s">
        <v>33</v>
      </c>
      <c r="C7" s="111"/>
      <c r="D7" s="59">
        <v>0</v>
      </c>
      <c r="E7" s="59">
        <f t="shared" si="5"/>
        <v>0</v>
      </c>
      <c r="F7" s="91">
        <f t="shared" si="6"/>
        <v>0</v>
      </c>
      <c r="G7" s="182">
        <v>147</v>
      </c>
      <c r="H7" s="57">
        <v>1611</v>
      </c>
      <c r="I7" s="90">
        <f t="shared" si="7"/>
        <v>236817</v>
      </c>
      <c r="J7" s="182">
        <v>7</v>
      </c>
      <c r="K7" s="57">
        <v>8176</v>
      </c>
      <c r="L7" s="92">
        <f t="shared" si="0"/>
        <v>57232</v>
      </c>
      <c r="M7" s="182">
        <v>342</v>
      </c>
      <c r="N7" s="71">
        <v>1611</v>
      </c>
      <c r="O7" s="92">
        <f t="shared" si="1"/>
        <v>550962</v>
      </c>
      <c r="P7" s="182">
        <v>14</v>
      </c>
      <c r="Q7" s="71">
        <v>8176</v>
      </c>
      <c r="R7" s="92">
        <f t="shared" si="8"/>
        <v>114464</v>
      </c>
      <c r="S7" s="50">
        <v>236</v>
      </c>
      <c r="T7" s="62">
        <v>1611</v>
      </c>
      <c r="U7" s="90">
        <f t="shared" si="9"/>
        <v>380196</v>
      </c>
      <c r="V7" s="50">
        <v>11</v>
      </c>
      <c r="W7" s="57">
        <v>8176</v>
      </c>
      <c r="X7" s="90">
        <f t="shared" si="10"/>
        <v>89936</v>
      </c>
      <c r="Y7" s="51">
        <v>59</v>
      </c>
      <c r="Z7" s="57">
        <v>3130</v>
      </c>
      <c r="AA7" s="58">
        <f t="shared" si="11"/>
        <v>184670</v>
      </c>
      <c r="AB7" s="50">
        <v>3</v>
      </c>
      <c r="AC7" s="57">
        <v>8176</v>
      </c>
      <c r="AD7" s="58">
        <f t="shared" si="12"/>
        <v>24528</v>
      </c>
      <c r="AE7" s="58">
        <f t="shared" si="13"/>
        <v>10669.098</v>
      </c>
      <c r="AF7" s="147">
        <f t="shared" si="14"/>
        <v>219867.098</v>
      </c>
      <c r="AG7" s="50">
        <v>25</v>
      </c>
      <c r="AH7" s="58">
        <f t="shared" si="15"/>
        <v>71325</v>
      </c>
      <c r="AI7" s="47">
        <v>1</v>
      </c>
      <c r="AJ7" s="58">
        <f t="shared" si="16"/>
        <v>10934</v>
      </c>
      <c r="AK7" s="57">
        <f t="shared" si="17"/>
        <v>4195.209</v>
      </c>
      <c r="AL7" s="147">
        <f t="shared" si="18"/>
        <v>86454.209</v>
      </c>
      <c r="AM7" s="107">
        <f t="shared" si="2"/>
        <v>725</v>
      </c>
      <c r="AN7" s="90">
        <v>38400</v>
      </c>
      <c r="AO7" s="89">
        <f>F7+I7+L7+O7+R7+U7+X7+AN7</f>
        <v>1468007</v>
      </c>
      <c r="AP7" s="58">
        <f t="shared" si="20"/>
        <v>74868.35699999999</v>
      </c>
      <c r="AQ7" s="176">
        <f t="shared" si="21"/>
        <v>1542875.357</v>
      </c>
      <c r="AR7" s="174">
        <f aca="true" t="shared" si="36" ref="AR7:AR14">AQ7*$AR$4</f>
        <v>1481160.34272</v>
      </c>
      <c r="AS7" s="64"/>
      <c r="AT7" s="64"/>
      <c r="AU7" s="64"/>
      <c r="AV7" s="102">
        <f t="shared" si="3"/>
        <v>1481160.34272</v>
      </c>
      <c r="AW7" s="64">
        <v>187</v>
      </c>
      <c r="AX7" s="57">
        <v>688</v>
      </c>
      <c r="AY7" s="58">
        <f t="shared" si="22"/>
        <v>128656</v>
      </c>
      <c r="AZ7" s="64">
        <v>10</v>
      </c>
      <c r="BA7" s="57">
        <v>1758</v>
      </c>
      <c r="BB7" s="58">
        <f t="shared" si="23"/>
        <v>17580</v>
      </c>
      <c r="BC7" s="58">
        <f t="shared" si="24"/>
        <v>146236</v>
      </c>
      <c r="BD7" s="57">
        <f t="shared" si="25"/>
        <v>7458.035999999999</v>
      </c>
      <c r="BE7" s="147">
        <f t="shared" si="26"/>
        <v>153694.036</v>
      </c>
      <c r="BF7" s="105">
        <v>6</v>
      </c>
      <c r="BG7" s="68">
        <v>529</v>
      </c>
      <c r="BH7" s="148">
        <f t="shared" si="27"/>
        <v>3174</v>
      </c>
      <c r="BI7" s="56">
        <v>14</v>
      </c>
      <c r="BJ7" s="68">
        <f>BI7*2889</f>
        <v>40446</v>
      </c>
      <c r="BK7" s="56">
        <v>0</v>
      </c>
      <c r="BL7" s="57">
        <f t="shared" si="28"/>
        <v>0</v>
      </c>
      <c r="BM7" s="147">
        <f t="shared" si="29"/>
        <v>40446</v>
      </c>
      <c r="BN7" s="47">
        <f t="shared" si="4"/>
        <v>147</v>
      </c>
      <c r="BO7" s="57">
        <v>94</v>
      </c>
      <c r="BP7" s="147">
        <f t="shared" si="30"/>
        <v>13818</v>
      </c>
      <c r="BQ7" s="100">
        <v>809</v>
      </c>
      <c r="BR7" s="57">
        <v>1900</v>
      </c>
      <c r="BS7" s="57">
        <v>26.4</v>
      </c>
      <c r="BT7" s="147">
        <f t="shared" si="31"/>
        <v>23257.6</v>
      </c>
      <c r="BU7" s="181">
        <v>809</v>
      </c>
      <c r="BV7" s="57">
        <v>25</v>
      </c>
      <c r="BW7" s="147">
        <f t="shared" si="32"/>
        <v>20225</v>
      </c>
      <c r="BX7" s="114">
        <v>296</v>
      </c>
      <c r="BY7" s="115">
        <v>87</v>
      </c>
      <c r="BZ7" s="114">
        <v>25</v>
      </c>
      <c r="CA7" s="113">
        <v>97</v>
      </c>
      <c r="CB7" s="150">
        <f t="shared" si="33"/>
        <v>28177</v>
      </c>
      <c r="CC7" s="148">
        <v>0</v>
      </c>
      <c r="CD7" s="148">
        <v>4356</v>
      </c>
      <c r="CE7" s="114">
        <v>320</v>
      </c>
      <c r="CF7" s="115">
        <v>39</v>
      </c>
      <c r="CG7" s="151">
        <f t="shared" si="34"/>
        <v>12480</v>
      </c>
      <c r="CH7" s="94">
        <f>SUM(AV7,BE7,BH7,BM7,BP7,BT7,BW7,CB7,CC7,CD7,CG7,AF7,AL7)</f>
        <v>2087109.2857200003</v>
      </c>
    </row>
    <row r="8" spans="1:86" ht="21.75" customHeight="1">
      <c r="A8" s="60">
        <v>4</v>
      </c>
      <c r="B8" s="49" t="s">
        <v>32</v>
      </c>
      <c r="C8" s="111"/>
      <c r="D8" s="59">
        <v>0</v>
      </c>
      <c r="E8" s="59">
        <f t="shared" si="5"/>
        <v>0</v>
      </c>
      <c r="F8" s="91">
        <f t="shared" si="6"/>
        <v>0</v>
      </c>
      <c r="G8" s="182">
        <v>40</v>
      </c>
      <c r="H8" s="57">
        <v>1611</v>
      </c>
      <c r="I8" s="90">
        <f t="shared" si="7"/>
        <v>64440</v>
      </c>
      <c r="J8" s="182">
        <v>4</v>
      </c>
      <c r="K8" s="57">
        <v>8176</v>
      </c>
      <c r="L8" s="92">
        <f t="shared" si="0"/>
        <v>32704</v>
      </c>
      <c r="M8" s="182"/>
      <c r="N8" s="71"/>
      <c r="O8" s="92">
        <f t="shared" si="1"/>
        <v>0</v>
      </c>
      <c r="P8" s="182"/>
      <c r="Q8" s="71"/>
      <c r="R8" s="92">
        <f t="shared" si="8"/>
        <v>0</v>
      </c>
      <c r="S8" s="50"/>
      <c r="T8" s="73"/>
      <c r="U8" s="90">
        <f t="shared" si="9"/>
        <v>0</v>
      </c>
      <c r="V8" s="50"/>
      <c r="W8" s="57"/>
      <c r="X8" s="90">
        <f t="shared" si="10"/>
        <v>0</v>
      </c>
      <c r="Y8" s="51"/>
      <c r="Z8" s="57"/>
      <c r="AA8" s="58">
        <f t="shared" si="11"/>
        <v>0</v>
      </c>
      <c r="AB8" s="50"/>
      <c r="AC8" s="57"/>
      <c r="AD8" s="58">
        <f t="shared" si="12"/>
        <v>0</v>
      </c>
      <c r="AE8" s="58">
        <f t="shared" si="13"/>
        <v>0</v>
      </c>
      <c r="AF8" s="147">
        <f t="shared" si="14"/>
        <v>0</v>
      </c>
      <c r="AG8" s="50"/>
      <c r="AH8" s="58">
        <f t="shared" si="15"/>
        <v>0</v>
      </c>
      <c r="AI8" s="47"/>
      <c r="AJ8" s="58">
        <f t="shared" si="16"/>
        <v>0</v>
      </c>
      <c r="AK8" s="57">
        <f t="shared" si="17"/>
        <v>0</v>
      </c>
      <c r="AL8" s="147">
        <f t="shared" si="18"/>
        <v>0</v>
      </c>
      <c r="AM8" s="107">
        <f t="shared" si="2"/>
        <v>40</v>
      </c>
      <c r="AN8" s="90">
        <v>38400</v>
      </c>
      <c r="AO8" s="89">
        <f t="shared" si="19"/>
        <v>135544</v>
      </c>
      <c r="AP8" s="58">
        <f t="shared" si="20"/>
        <v>6912.744</v>
      </c>
      <c r="AQ8" s="176">
        <f t="shared" si="21"/>
        <v>142456.744</v>
      </c>
      <c r="AR8" s="174">
        <f>AQ8*$AR$4</f>
        <v>136758.47424</v>
      </c>
      <c r="AS8" s="64">
        <v>26603</v>
      </c>
      <c r="AT8" s="64"/>
      <c r="AU8" s="64"/>
      <c r="AV8" s="102">
        <f t="shared" si="3"/>
        <v>163361.47424</v>
      </c>
      <c r="AW8" s="64">
        <v>35</v>
      </c>
      <c r="AX8" s="57">
        <v>688</v>
      </c>
      <c r="AY8" s="58">
        <f t="shared" si="22"/>
        <v>24080</v>
      </c>
      <c r="AZ8" s="64">
        <v>2</v>
      </c>
      <c r="BA8" s="57">
        <v>1758</v>
      </c>
      <c r="BB8" s="58">
        <f t="shared" si="23"/>
        <v>3516</v>
      </c>
      <c r="BC8" s="58">
        <f t="shared" si="24"/>
        <v>27596</v>
      </c>
      <c r="BD8" s="57">
        <f t="shared" si="25"/>
        <v>1407.396</v>
      </c>
      <c r="BE8" s="147">
        <f t="shared" si="26"/>
        <v>29003.396</v>
      </c>
      <c r="BF8" s="61"/>
      <c r="BG8" s="74"/>
      <c r="BH8" s="148">
        <f t="shared" si="27"/>
        <v>0</v>
      </c>
      <c r="BI8" s="56">
        <v>0</v>
      </c>
      <c r="BJ8" s="68">
        <v>0</v>
      </c>
      <c r="BK8" s="56">
        <v>1</v>
      </c>
      <c r="BL8" s="57">
        <f t="shared" si="28"/>
        <v>405</v>
      </c>
      <c r="BM8" s="147">
        <f t="shared" si="29"/>
        <v>405</v>
      </c>
      <c r="BN8" s="47">
        <f t="shared" si="4"/>
        <v>40</v>
      </c>
      <c r="BO8" s="57">
        <v>94</v>
      </c>
      <c r="BP8" s="147">
        <f t="shared" si="30"/>
        <v>3760</v>
      </c>
      <c r="BQ8" s="100">
        <v>40</v>
      </c>
      <c r="BR8" s="57">
        <v>1900</v>
      </c>
      <c r="BS8" s="57">
        <v>26.4</v>
      </c>
      <c r="BT8" s="147">
        <f t="shared" si="31"/>
        <v>2956</v>
      </c>
      <c r="BU8" s="181">
        <f aca="true" t="shared" si="37" ref="BU8:BU14">G8+M8+S8+Y8</f>
        <v>40</v>
      </c>
      <c r="BV8" s="57">
        <v>25</v>
      </c>
      <c r="BW8" s="147">
        <f t="shared" si="32"/>
        <v>1000</v>
      </c>
      <c r="BX8" s="112"/>
      <c r="BY8" s="113">
        <v>0</v>
      </c>
      <c r="BZ8" s="112"/>
      <c r="CA8" s="113">
        <v>0</v>
      </c>
      <c r="CB8" s="150">
        <f t="shared" si="33"/>
        <v>0</v>
      </c>
      <c r="CC8" s="148">
        <v>0</v>
      </c>
      <c r="CD8" s="148">
        <v>0</v>
      </c>
      <c r="CE8" s="112"/>
      <c r="CF8" s="113"/>
      <c r="CG8" s="151">
        <f t="shared" si="34"/>
        <v>0</v>
      </c>
      <c r="CH8" s="94">
        <f t="shared" si="35"/>
        <v>200485.87024000002</v>
      </c>
    </row>
    <row r="9" spans="1:86" ht="21.75" customHeight="1">
      <c r="A9" s="60">
        <v>5</v>
      </c>
      <c r="B9" s="49" t="s">
        <v>14</v>
      </c>
      <c r="C9" s="111"/>
      <c r="D9" s="59">
        <v>0</v>
      </c>
      <c r="E9" s="59">
        <f t="shared" si="5"/>
        <v>0</v>
      </c>
      <c r="F9" s="91">
        <f t="shared" si="6"/>
        <v>0</v>
      </c>
      <c r="G9" s="182">
        <v>302</v>
      </c>
      <c r="H9" s="57">
        <v>1611</v>
      </c>
      <c r="I9" s="90">
        <f t="shared" si="7"/>
        <v>486522</v>
      </c>
      <c r="J9" s="182">
        <v>12</v>
      </c>
      <c r="K9" s="57">
        <v>8176</v>
      </c>
      <c r="L9" s="92">
        <f t="shared" si="0"/>
        <v>98112</v>
      </c>
      <c r="M9" s="182"/>
      <c r="N9" s="71"/>
      <c r="O9" s="92">
        <f t="shared" si="1"/>
        <v>0</v>
      </c>
      <c r="P9" s="182"/>
      <c r="Q9" s="71"/>
      <c r="R9" s="92">
        <f t="shared" si="8"/>
        <v>0</v>
      </c>
      <c r="S9" s="50"/>
      <c r="T9" s="73"/>
      <c r="U9" s="90">
        <f t="shared" si="9"/>
        <v>0</v>
      </c>
      <c r="V9" s="50"/>
      <c r="W9" s="57"/>
      <c r="X9" s="90">
        <f t="shared" si="10"/>
        <v>0</v>
      </c>
      <c r="Y9" s="51"/>
      <c r="Z9" s="57"/>
      <c r="AA9" s="58">
        <f t="shared" si="11"/>
        <v>0</v>
      </c>
      <c r="AB9" s="50"/>
      <c r="AC9" s="57"/>
      <c r="AD9" s="58">
        <f t="shared" si="12"/>
        <v>0</v>
      </c>
      <c r="AE9" s="58">
        <f t="shared" si="13"/>
        <v>0</v>
      </c>
      <c r="AF9" s="147">
        <f t="shared" si="14"/>
        <v>0</v>
      </c>
      <c r="AG9" s="50"/>
      <c r="AH9" s="58">
        <f t="shared" si="15"/>
        <v>0</v>
      </c>
      <c r="AI9" s="47"/>
      <c r="AJ9" s="58">
        <f t="shared" si="16"/>
        <v>0</v>
      </c>
      <c r="AK9" s="57">
        <f t="shared" si="17"/>
        <v>0</v>
      </c>
      <c r="AL9" s="147">
        <f t="shared" si="18"/>
        <v>0</v>
      </c>
      <c r="AM9" s="107">
        <f t="shared" si="2"/>
        <v>302</v>
      </c>
      <c r="AN9" s="90">
        <v>38400</v>
      </c>
      <c r="AO9" s="89">
        <f t="shared" si="19"/>
        <v>623034</v>
      </c>
      <c r="AP9" s="58">
        <f t="shared" si="20"/>
        <v>31774.733999999997</v>
      </c>
      <c r="AQ9" s="176">
        <f t="shared" si="21"/>
        <v>654808.7339999999</v>
      </c>
      <c r="AR9" s="174">
        <f t="shared" si="36"/>
        <v>628616.38464</v>
      </c>
      <c r="AS9" s="64"/>
      <c r="AT9" s="64"/>
      <c r="AU9" s="64"/>
      <c r="AV9" s="102">
        <f t="shared" si="3"/>
        <v>628616.38464</v>
      </c>
      <c r="AW9" s="64">
        <v>196</v>
      </c>
      <c r="AX9" s="57">
        <v>688</v>
      </c>
      <c r="AY9" s="58">
        <f t="shared" si="22"/>
        <v>134848</v>
      </c>
      <c r="AZ9" s="64">
        <v>9</v>
      </c>
      <c r="BA9" s="57">
        <v>1758</v>
      </c>
      <c r="BB9" s="58">
        <f t="shared" si="23"/>
        <v>15822</v>
      </c>
      <c r="BC9" s="58">
        <f t="shared" si="24"/>
        <v>150670</v>
      </c>
      <c r="BD9" s="57">
        <f t="shared" si="25"/>
        <v>7684.169999999999</v>
      </c>
      <c r="BE9" s="147">
        <f t="shared" si="26"/>
        <v>158354.17</v>
      </c>
      <c r="BF9" s="61"/>
      <c r="BG9" s="74"/>
      <c r="BH9" s="148">
        <f t="shared" si="27"/>
        <v>0</v>
      </c>
      <c r="BI9" s="56">
        <v>0</v>
      </c>
      <c r="BJ9" s="68">
        <v>0</v>
      </c>
      <c r="BK9" s="56">
        <f>BI9*BJ9</f>
        <v>0</v>
      </c>
      <c r="BL9" s="57">
        <f t="shared" si="28"/>
        <v>0</v>
      </c>
      <c r="BM9" s="147">
        <f t="shared" si="29"/>
        <v>0</v>
      </c>
      <c r="BN9" s="47">
        <f t="shared" si="4"/>
        <v>302</v>
      </c>
      <c r="BO9" s="57">
        <v>94</v>
      </c>
      <c r="BP9" s="147">
        <f t="shared" si="30"/>
        <v>28388</v>
      </c>
      <c r="BQ9" s="100">
        <v>302</v>
      </c>
      <c r="BR9" s="57">
        <v>1900</v>
      </c>
      <c r="BS9" s="57">
        <v>26.4</v>
      </c>
      <c r="BT9" s="147">
        <f t="shared" si="31"/>
        <v>9872.8</v>
      </c>
      <c r="BU9" s="181">
        <f t="shared" si="37"/>
        <v>302</v>
      </c>
      <c r="BV9" s="57">
        <v>25</v>
      </c>
      <c r="BW9" s="147">
        <f t="shared" si="32"/>
        <v>7550</v>
      </c>
      <c r="BX9" s="112"/>
      <c r="BY9" s="113">
        <v>0</v>
      </c>
      <c r="BZ9" s="112"/>
      <c r="CA9" s="113">
        <v>0</v>
      </c>
      <c r="CB9" s="150">
        <f t="shared" si="33"/>
        <v>0</v>
      </c>
      <c r="CC9" s="148">
        <v>0</v>
      </c>
      <c r="CD9" s="148">
        <v>4356</v>
      </c>
      <c r="CE9" s="112"/>
      <c r="CF9" s="113"/>
      <c r="CG9" s="151">
        <f t="shared" si="34"/>
        <v>0</v>
      </c>
      <c r="CH9" s="94">
        <f t="shared" si="35"/>
        <v>837137.35464</v>
      </c>
    </row>
    <row r="10" spans="1:86" ht="21.75" customHeight="1">
      <c r="A10" s="54">
        <v>6</v>
      </c>
      <c r="B10" s="49" t="s">
        <v>37</v>
      </c>
      <c r="C10" s="111"/>
      <c r="D10" s="59">
        <v>0</v>
      </c>
      <c r="E10" s="59">
        <f t="shared" si="5"/>
        <v>0</v>
      </c>
      <c r="F10" s="91">
        <f t="shared" si="6"/>
        <v>0</v>
      </c>
      <c r="G10" s="182">
        <v>45</v>
      </c>
      <c r="H10" s="57">
        <v>1611</v>
      </c>
      <c r="I10" s="90">
        <f t="shared" si="7"/>
        <v>72495</v>
      </c>
      <c r="J10" s="182">
        <v>4</v>
      </c>
      <c r="K10" s="57">
        <v>8176</v>
      </c>
      <c r="L10" s="92">
        <f t="shared" si="0"/>
        <v>32704</v>
      </c>
      <c r="M10" s="182">
        <v>55</v>
      </c>
      <c r="N10" s="71">
        <v>1611</v>
      </c>
      <c r="O10" s="92">
        <f t="shared" si="1"/>
        <v>88605</v>
      </c>
      <c r="P10" s="182">
        <v>3</v>
      </c>
      <c r="Q10" s="71">
        <v>8176</v>
      </c>
      <c r="R10" s="92">
        <f t="shared" si="8"/>
        <v>24528</v>
      </c>
      <c r="S10" s="50"/>
      <c r="T10" s="73"/>
      <c r="U10" s="90">
        <f t="shared" si="9"/>
        <v>0</v>
      </c>
      <c r="V10" s="50"/>
      <c r="W10" s="57"/>
      <c r="X10" s="90">
        <f t="shared" si="10"/>
        <v>0</v>
      </c>
      <c r="Y10" s="51"/>
      <c r="Z10" s="57"/>
      <c r="AA10" s="58">
        <f t="shared" si="11"/>
        <v>0</v>
      </c>
      <c r="AB10" s="50"/>
      <c r="AC10" s="57"/>
      <c r="AD10" s="58">
        <f t="shared" si="12"/>
        <v>0</v>
      </c>
      <c r="AE10" s="58">
        <f t="shared" si="13"/>
        <v>0</v>
      </c>
      <c r="AF10" s="147">
        <f t="shared" si="14"/>
        <v>0</v>
      </c>
      <c r="AG10" s="50"/>
      <c r="AH10" s="58">
        <f t="shared" si="15"/>
        <v>0</v>
      </c>
      <c r="AI10" s="47"/>
      <c r="AJ10" s="58">
        <f t="shared" si="16"/>
        <v>0</v>
      </c>
      <c r="AK10" s="57">
        <f t="shared" si="17"/>
        <v>0</v>
      </c>
      <c r="AL10" s="147">
        <f t="shared" si="18"/>
        <v>0</v>
      </c>
      <c r="AM10" s="107">
        <f t="shared" si="2"/>
        <v>100</v>
      </c>
      <c r="AN10" s="90">
        <v>38400</v>
      </c>
      <c r="AO10" s="89">
        <f t="shared" si="19"/>
        <v>256732</v>
      </c>
      <c r="AP10" s="58">
        <f t="shared" si="20"/>
        <v>13093.331999999999</v>
      </c>
      <c r="AQ10" s="176">
        <f t="shared" si="21"/>
        <v>269825.332</v>
      </c>
      <c r="AR10" s="174">
        <f t="shared" si="36"/>
        <v>259032.31871999998</v>
      </c>
      <c r="AS10" s="64"/>
      <c r="AT10" s="64">
        <v>10275</v>
      </c>
      <c r="AU10" s="64"/>
      <c r="AV10" s="102">
        <f t="shared" si="3"/>
        <v>269307.31872</v>
      </c>
      <c r="AW10" s="64">
        <v>30</v>
      </c>
      <c r="AX10" s="57">
        <v>688</v>
      </c>
      <c r="AY10" s="58">
        <f t="shared" si="22"/>
        <v>20640</v>
      </c>
      <c r="AZ10" s="64">
        <v>1</v>
      </c>
      <c r="BA10" s="57">
        <v>1758</v>
      </c>
      <c r="BB10" s="58">
        <f t="shared" si="23"/>
        <v>1758</v>
      </c>
      <c r="BC10" s="58">
        <f t="shared" si="24"/>
        <v>22398</v>
      </c>
      <c r="BD10" s="57">
        <f t="shared" si="25"/>
        <v>1142.298</v>
      </c>
      <c r="BE10" s="147">
        <f t="shared" si="26"/>
        <v>23540.298</v>
      </c>
      <c r="BF10" s="61"/>
      <c r="BG10" s="74"/>
      <c r="BH10" s="148">
        <f t="shared" si="27"/>
        <v>0</v>
      </c>
      <c r="BI10" s="56">
        <v>0</v>
      </c>
      <c r="BJ10" s="68">
        <v>0</v>
      </c>
      <c r="BK10" s="56">
        <v>6</v>
      </c>
      <c r="BL10" s="57">
        <f t="shared" si="28"/>
        <v>2430</v>
      </c>
      <c r="BM10" s="147">
        <f t="shared" si="29"/>
        <v>2430</v>
      </c>
      <c r="BN10" s="47">
        <f t="shared" si="4"/>
        <v>45</v>
      </c>
      <c r="BO10" s="57">
        <v>94</v>
      </c>
      <c r="BP10" s="147">
        <f t="shared" si="30"/>
        <v>4230</v>
      </c>
      <c r="BQ10" s="100">
        <v>100</v>
      </c>
      <c r="BR10" s="57">
        <v>1900</v>
      </c>
      <c r="BS10" s="57">
        <v>26.4</v>
      </c>
      <c r="BT10" s="147">
        <f t="shared" si="31"/>
        <v>4540</v>
      </c>
      <c r="BU10" s="181">
        <f t="shared" si="37"/>
        <v>100</v>
      </c>
      <c r="BV10" s="57">
        <v>25</v>
      </c>
      <c r="BW10" s="147">
        <f t="shared" si="32"/>
        <v>2500</v>
      </c>
      <c r="BX10" s="112"/>
      <c r="BY10" s="113">
        <v>0</v>
      </c>
      <c r="BZ10" s="112"/>
      <c r="CA10" s="113">
        <v>0</v>
      </c>
      <c r="CB10" s="150">
        <f t="shared" si="33"/>
        <v>0</v>
      </c>
      <c r="CC10" s="148">
        <v>0</v>
      </c>
      <c r="CD10" s="148">
        <v>0</v>
      </c>
      <c r="CE10" s="112"/>
      <c r="CF10" s="113"/>
      <c r="CG10" s="151">
        <f t="shared" si="34"/>
        <v>0</v>
      </c>
      <c r="CH10" s="94">
        <f t="shared" si="35"/>
        <v>306547.61672</v>
      </c>
    </row>
    <row r="11" spans="1:86" ht="21.75" customHeight="1">
      <c r="A11" s="60">
        <v>7</v>
      </c>
      <c r="B11" s="49" t="s">
        <v>36</v>
      </c>
      <c r="C11" s="111"/>
      <c r="D11" s="59">
        <v>0</v>
      </c>
      <c r="E11" s="59">
        <f t="shared" si="5"/>
        <v>0</v>
      </c>
      <c r="F11" s="91">
        <f t="shared" si="6"/>
        <v>0</v>
      </c>
      <c r="G11" s="182">
        <v>41</v>
      </c>
      <c r="H11" s="57">
        <v>1611</v>
      </c>
      <c r="I11" s="90">
        <f t="shared" si="7"/>
        <v>66051</v>
      </c>
      <c r="J11" s="182">
        <v>4</v>
      </c>
      <c r="K11" s="57">
        <v>8176</v>
      </c>
      <c r="L11" s="92">
        <f t="shared" si="0"/>
        <v>32704</v>
      </c>
      <c r="M11" s="182">
        <v>43</v>
      </c>
      <c r="N11" s="71">
        <v>1611</v>
      </c>
      <c r="O11" s="92">
        <f t="shared" si="1"/>
        <v>69273</v>
      </c>
      <c r="P11" s="182">
        <v>3</v>
      </c>
      <c r="Q11" s="71">
        <v>8176</v>
      </c>
      <c r="R11" s="92">
        <f t="shared" si="8"/>
        <v>24528</v>
      </c>
      <c r="S11" s="50"/>
      <c r="T11" s="73"/>
      <c r="U11" s="90">
        <f t="shared" si="9"/>
        <v>0</v>
      </c>
      <c r="V11" s="50"/>
      <c r="W11" s="57"/>
      <c r="X11" s="90">
        <f t="shared" si="10"/>
        <v>0</v>
      </c>
      <c r="Y11" s="51"/>
      <c r="Z11" s="57"/>
      <c r="AA11" s="58">
        <f t="shared" si="11"/>
        <v>0</v>
      </c>
      <c r="AB11" s="50"/>
      <c r="AC11" s="57"/>
      <c r="AD11" s="58">
        <f t="shared" si="12"/>
        <v>0</v>
      </c>
      <c r="AE11" s="58">
        <f t="shared" si="13"/>
        <v>0</v>
      </c>
      <c r="AF11" s="147">
        <f t="shared" si="14"/>
        <v>0</v>
      </c>
      <c r="AG11" s="50"/>
      <c r="AH11" s="58">
        <f t="shared" si="15"/>
        <v>0</v>
      </c>
      <c r="AI11" s="47"/>
      <c r="AJ11" s="58">
        <f t="shared" si="16"/>
        <v>0</v>
      </c>
      <c r="AK11" s="57">
        <f t="shared" si="17"/>
        <v>0</v>
      </c>
      <c r="AL11" s="147">
        <f t="shared" si="18"/>
        <v>0</v>
      </c>
      <c r="AM11" s="107">
        <f t="shared" si="2"/>
        <v>84</v>
      </c>
      <c r="AN11" s="90">
        <v>38400</v>
      </c>
      <c r="AO11" s="89">
        <f t="shared" si="19"/>
        <v>230956</v>
      </c>
      <c r="AP11" s="58">
        <f t="shared" si="20"/>
        <v>11778.756</v>
      </c>
      <c r="AQ11" s="176">
        <f t="shared" si="21"/>
        <v>242734.756</v>
      </c>
      <c r="AR11" s="174">
        <f t="shared" si="36"/>
        <v>233025.36576</v>
      </c>
      <c r="AS11" s="64"/>
      <c r="AT11" s="64">
        <v>8632</v>
      </c>
      <c r="AU11" s="64"/>
      <c r="AV11" s="102">
        <f t="shared" si="3"/>
        <v>241657.36576</v>
      </c>
      <c r="AW11" s="64">
        <v>60</v>
      </c>
      <c r="AX11" s="57">
        <v>688</v>
      </c>
      <c r="AY11" s="58">
        <f t="shared" si="22"/>
        <v>41280</v>
      </c>
      <c r="AZ11" s="64">
        <v>3</v>
      </c>
      <c r="BA11" s="57">
        <v>1758</v>
      </c>
      <c r="BB11" s="58">
        <f t="shared" si="23"/>
        <v>5274</v>
      </c>
      <c r="BC11" s="58">
        <f t="shared" si="24"/>
        <v>46554</v>
      </c>
      <c r="BD11" s="57">
        <f t="shared" si="25"/>
        <v>2374.254</v>
      </c>
      <c r="BE11" s="147">
        <f t="shared" si="26"/>
        <v>48928.254</v>
      </c>
      <c r="BF11" s="61"/>
      <c r="BG11" s="74"/>
      <c r="BH11" s="148">
        <f t="shared" si="27"/>
        <v>0</v>
      </c>
      <c r="BI11" s="56">
        <v>0</v>
      </c>
      <c r="BJ11" s="68">
        <v>0</v>
      </c>
      <c r="BK11" s="56">
        <v>8</v>
      </c>
      <c r="BL11" s="57">
        <f t="shared" si="28"/>
        <v>3240</v>
      </c>
      <c r="BM11" s="147">
        <f t="shared" si="29"/>
        <v>3240</v>
      </c>
      <c r="BN11" s="47">
        <f t="shared" si="4"/>
        <v>41</v>
      </c>
      <c r="BO11" s="57">
        <v>94</v>
      </c>
      <c r="BP11" s="147">
        <f t="shared" si="30"/>
        <v>3854</v>
      </c>
      <c r="BQ11" s="100">
        <v>84</v>
      </c>
      <c r="BR11" s="57">
        <v>1900</v>
      </c>
      <c r="BS11" s="57">
        <v>26.4</v>
      </c>
      <c r="BT11" s="147">
        <f t="shared" si="31"/>
        <v>4117.6</v>
      </c>
      <c r="BU11" s="181">
        <f t="shared" si="37"/>
        <v>84</v>
      </c>
      <c r="BV11" s="57">
        <v>25</v>
      </c>
      <c r="BW11" s="147">
        <f t="shared" si="32"/>
        <v>2100</v>
      </c>
      <c r="BX11" s="112"/>
      <c r="BY11" s="113">
        <v>0</v>
      </c>
      <c r="BZ11" s="112"/>
      <c r="CA11" s="113">
        <v>0</v>
      </c>
      <c r="CB11" s="150">
        <f t="shared" si="33"/>
        <v>0</v>
      </c>
      <c r="CC11" s="148">
        <v>0</v>
      </c>
      <c r="CD11" s="148">
        <v>0</v>
      </c>
      <c r="CE11" s="112"/>
      <c r="CF11" s="113"/>
      <c r="CG11" s="151">
        <f t="shared" si="34"/>
        <v>0</v>
      </c>
      <c r="CH11" s="94">
        <f t="shared" si="35"/>
        <v>303897.21975999995</v>
      </c>
    </row>
    <row r="12" spans="1:86" ht="21.75" customHeight="1">
      <c r="A12" s="60">
        <v>8</v>
      </c>
      <c r="B12" s="49" t="s">
        <v>23</v>
      </c>
      <c r="C12" s="111">
        <v>5</v>
      </c>
      <c r="D12" s="59">
        <v>1944</v>
      </c>
      <c r="E12" s="59">
        <f>SUM(C12*1355)</f>
        <v>6775</v>
      </c>
      <c r="F12" s="91">
        <f t="shared" si="6"/>
        <v>8719</v>
      </c>
      <c r="G12" s="182">
        <v>11</v>
      </c>
      <c r="H12" s="57">
        <v>1611</v>
      </c>
      <c r="I12" s="90">
        <f t="shared" si="7"/>
        <v>17721</v>
      </c>
      <c r="J12" s="182">
        <v>2</v>
      </c>
      <c r="K12" s="57">
        <v>8176</v>
      </c>
      <c r="L12" s="92">
        <f t="shared" si="0"/>
        <v>16352</v>
      </c>
      <c r="M12" s="182">
        <v>10</v>
      </c>
      <c r="N12" s="71">
        <v>1611</v>
      </c>
      <c r="O12" s="92">
        <f t="shared" si="1"/>
        <v>16110</v>
      </c>
      <c r="P12" s="182">
        <v>2</v>
      </c>
      <c r="Q12" s="71">
        <v>8176</v>
      </c>
      <c r="R12" s="92">
        <f t="shared" si="8"/>
        <v>16352</v>
      </c>
      <c r="S12" s="50"/>
      <c r="T12" s="73"/>
      <c r="U12" s="90">
        <f t="shared" si="9"/>
        <v>0</v>
      </c>
      <c r="V12" s="50"/>
      <c r="W12" s="57"/>
      <c r="X12" s="90">
        <f t="shared" si="10"/>
        <v>0</v>
      </c>
      <c r="Y12" s="51"/>
      <c r="Z12" s="57"/>
      <c r="AA12" s="58">
        <f t="shared" si="11"/>
        <v>0</v>
      </c>
      <c r="AB12" s="50"/>
      <c r="AC12" s="57"/>
      <c r="AD12" s="58">
        <f t="shared" si="12"/>
        <v>0</v>
      </c>
      <c r="AE12" s="58">
        <f t="shared" si="13"/>
        <v>0</v>
      </c>
      <c r="AF12" s="147">
        <f t="shared" si="14"/>
        <v>0</v>
      </c>
      <c r="AG12" s="50"/>
      <c r="AH12" s="58">
        <f t="shared" si="15"/>
        <v>0</v>
      </c>
      <c r="AI12" s="47"/>
      <c r="AJ12" s="58">
        <f t="shared" si="16"/>
        <v>0</v>
      </c>
      <c r="AK12" s="57">
        <f t="shared" si="17"/>
        <v>0</v>
      </c>
      <c r="AL12" s="147">
        <f t="shared" si="18"/>
        <v>0</v>
      </c>
      <c r="AM12" s="107">
        <f t="shared" si="2"/>
        <v>21</v>
      </c>
      <c r="AN12" s="90">
        <v>38400</v>
      </c>
      <c r="AO12" s="89">
        <f t="shared" si="19"/>
        <v>113654</v>
      </c>
      <c r="AP12" s="58">
        <f t="shared" si="20"/>
        <v>5796.353999999999</v>
      </c>
      <c r="AQ12" s="176">
        <f t="shared" si="21"/>
        <v>119450.35399999999</v>
      </c>
      <c r="AR12" s="174">
        <f t="shared" si="36"/>
        <v>114672.33983999999</v>
      </c>
      <c r="AS12" s="64">
        <v>13967</v>
      </c>
      <c r="AT12" s="64"/>
      <c r="AU12" s="64"/>
      <c r="AV12" s="102">
        <f t="shared" si="3"/>
        <v>128639.33983999999</v>
      </c>
      <c r="AW12" s="64">
        <v>8</v>
      </c>
      <c r="AX12" s="57">
        <v>688</v>
      </c>
      <c r="AY12" s="58">
        <f t="shared" si="22"/>
        <v>5504</v>
      </c>
      <c r="AZ12" s="64">
        <v>1</v>
      </c>
      <c r="BA12" s="57">
        <v>1758</v>
      </c>
      <c r="BB12" s="58">
        <f t="shared" si="23"/>
        <v>1758</v>
      </c>
      <c r="BC12" s="58">
        <f t="shared" si="24"/>
        <v>7262</v>
      </c>
      <c r="BD12" s="57">
        <f t="shared" si="25"/>
        <v>370.36199999999997</v>
      </c>
      <c r="BE12" s="147">
        <f t="shared" si="26"/>
        <v>7632.362</v>
      </c>
      <c r="BF12" s="61"/>
      <c r="BG12" s="74"/>
      <c r="BH12" s="148">
        <f t="shared" si="27"/>
        <v>0</v>
      </c>
      <c r="BI12" s="56">
        <v>0</v>
      </c>
      <c r="BJ12" s="68">
        <v>0</v>
      </c>
      <c r="BK12" s="56">
        <f>BI12*BJ12</f>
        <v>0</v>
      </c>
      <c r="BL12" s="57">
        <f t="shared" si="28"/>
        <v>0</v>
      </c>
      <c r="BM12" s="147">
        <f t="shared" si="29"/>
        <v>0</v>
      </c>
      <c r="BN12" s="47">
        <f t="shared" si="4"/>
        <v>11</v>
      </c>
      <c r="BO12" s="57">
        <v>94</v>
      </c>
      <c r="BP12" s="147">
        <f t="shared" si="30"/>
        <v>1034</v>
      </c>
      <c r="BQ12" s="100">
        <v>21</v>
      </c>
      <c r="BR12" s="57">
        <v>1900</v>
      </c>
      <c r="BS12" s="57">
        <v>26.4</v>
      </c>
      <c r="BT12" s="147">
        <f t="shared" si="31"/>
        <v>2454.4</v>
      </c>
      <c r="BU12" s="181">
        <f t="shared" si="37"/>
        <v>21</v>
      </c>
      <c r="BV12" s="57">
        <v>25</v>
      </c>
      <c r="BW12" s="147">
        <f t="shared" si="32"/>
        <v>525</v>
      </c>
      <c r="BX12" s="112"/>
      <c r="BY12" s="113">
        <v>0</v>
      </c>
      <c r="BZ12" s="112"/>
      <c r="CA12" s="113">
        <v>0</v>
      </c>
      <c r="CB12" s="150">
        <f t="shared" si="33"/>
        <v>0</v>
      </c>
      <c r="CC12" s="148">
        <v>0</v>
      </c>
      <c r="CD12" s="148">
        <v>0</v>
      </c>
      <c r="CE12" s="112"/>
      <c r="CF12" s="113"/>
      <c r="CG12" s="151">
        <f t="shared" si="34"/>
        <v>0</v>
      </c>
      <c r="CH12" s="94">
        <f t="shared" si="35"/>
        <v>140285.10184</v>
      </c>
    </row>
    <row r="13" spans="1:86" ht="21.75" customHeight="1">
      <c r="A13" s="54">
        <v>9</v>
      </c>
      <c r="B13" s="49" t="s">
        <v>34</v>
      </c>
      <c r="C13" s="111"/>
      <c r="D13" s="59">
        <v>0</v>
      </c>
      <c r="E13" s="59">
        <f>SUM(C13*1355)</f>
        <v>0</v>
      </c>
      <c r="F13" s="91">
        <f t="shared" si="6"/>
        <v>0</v>
      </c>
      <c r="G13" s="182">
        <v>81</v>
      </c>
      <c r="H13" s="57">
        <v>1611</v>
      </c>
      <c r="I13" s="90">
        <f t="shared" si="7"/>
        <v>130491</v>
      </c>
      <c r="J13" s="182">
        <v>4</v>
      </c>
      <c r="K13" s="57">
        <v>8176</v>
      </c>
      <c r="L13" s="92">
        <f t="shared" si="0"/>
        <v>32704</v>
      </c>
      <c r="M13" s="182">
        <v>52</v>
      </c>
      <c r="N13" s="71">
        <v>1611</v>
      </c>
      <c r="O13" s="92">
        <f t="shared" si="1"/>
        <v>83772</v>
      </c>
      <c r="P13" s="182">
        <v>3</v>
      </c>
      <c r="Q13" s="71">
        <v>8176</v>
      </c>
      <c r="R13" s="92">
        <f t="shared" si="8"/>
        <v>24528</v>
      </c>
      <c r="S13" s="50"/>
      <c r="T13" s="73"/>
      <c r="U13" s="90">
        <f t="shared" si="9"/>
        <v>0</v>
      </c>
      <c r="V13" s="50"/>
      <c r="W13" s="57"/>
      <c r="X13" s="90">
        <f t="shared" si="10"/>
        <v>0</v>
      </c>
      <c r="Y13" s="51"/>
      <c r="Z13" s="57"/>
      <c r="AA13" s="58">
        <f t="shared" si="11"/>
        <v>0</v>
      </c>
      <c r="AB13" s="50"/>
      <c r="AC13" s="57"/>
      <c r="AD13" s="58">
        <f t="shared" si="12"/>
        <v>0</v>
      </c>
      <c r="AE13" s="58">
        <f t="shared" si="13"/>
        <v>0</v>
      </c>
      <c r="AF13" s="147">
        <f t="shared" si="14"/>
        <v>0</v>
      </c>
      <c r="AG13" s="50"/>
      <c r="AH13" s="58">
        <f t="shared" si="15"/>
        <v>0</v>
      </c>
      <c r="AI13" s="47"/>
      <c r="AJ13" s="58">
        <f t="shared" si="16"/>
        <v>0</v>
      </c>
      <c r="AK13" s="57">
        <f t="shared" si="17"/>
        <v>0</v>
      </c>
      <c r="AL13" s="147">
        <f t="shared" si="18"/>
        <v>0</v>
      </c>
      <c r="AM13" s="107">
        <f t="shared" si="2"/>
        <v>133</v>
      </c>
      <c r="AN13" s="90">
        <v>38400</v>
      </c>
      <c r="AO13" s="89">
        <f t="shared" si="19"/>
        <v>309895</v>
      </c>
      <c r="AP13" s="58">
        <f t="shared" si="20"/>
        <v>15804.644999999999</v>
      </c>
      <c r="AQ13" s="176">
        <f t="shared" si="21"/>
        <v>325699.645</v>
      </c>
      <c r="AR13" s="174">
        <f t="shared" si="36"/>
        <v>312671.6592</v>
      </c>
      <c r="AS13" s="64"/>
      <c r="AT13" s="64"/>
      <c r="AU13" s="64"/>
      <c r="AV13" s="102">
        <f t="shared" si="3"/>
        <v>312671.6592</v>
      </c>
      <c r="AW13" s="64">
        <v>80</v>
      </c>
      <c r="AX13" s="57">
        <v>688</v>
      </c>
      <c r="AY13" s="58">
        <f t="shared" si="22"/>
        <v>55040</v>
      </c>
      <c r="AZ13" s="64">
        <v>4</v>
      </c>
      <c r="BA13" s="57">
        <v>1758</v>
      </c>
      <c r="BB13" s="58">
        <f t="shared" si="23"/>
        <v>7032</v>
      </c>
      <c r="BC13" s="58">
        <f t="shared" si="24"/>
        <v>62072</v>
      </c>
      <c r="BD13" s="57">
        <f t="shared" si="25"/>
        <v>3165.6719999999996</v>
      </c>
      <c r="BE13" s="147">
        <f t="shared" si="26"/>
        <v>65237.672</v>
      </c>
      <c r="BF13" s="61"/>
      <c r="BG13" s="74"/>
      <c r="BH13" s="148">
        <f t="shared" si="27"/>
        <v>0</v>
      </c>
      <c r="BI13" s="56">
        <v>0</v>
      </c>
      <c r="BJ13" s="68">
        <v>0</v>
      </c>
      <c r="BK13" s="56">
        <f>BI13*BJ13</f>
        <v>0</v>
      </c>
      <c r="BL13" s="57">
        <f t="shared" si="28"/>
        <v>0</v>
      </c>
      <c r="BM13" s="147">
        <f t="shared" si="29"/>
        <v>0</v>
      </c>
      <c r="BN13" s="47">
        <f t="shared" si="4"/>
        <v>81</v>
      </c>
      <c r="BO13" s="57">
        <v>94</v>
      </c>
      <c r="BP13" s="147">
        <f t="shared" si="30"/>
        <v>7614</v>
      </c>
      <c r="BQ13" s="100">
        <v>133</v>
      </c>
      <c r="BR13" s="57">
        <v>1900</v>
      </c>
      <c r="BS13" s="57">
        <v>26.4</v>
      </c>
      <c r="BT13" s="147">
        <f t="shared" si="31"/>
        <v>5411.2</v>
      </c>
      <c r="BU13" s="181">
        <f t="shared" si="37"/>
        <v>133</v>
      </c>
      <c r="BV13" s="57">
        <v>25</v>
      </c>
      <c r="BW13" s="147">
        <f t="shared" si="32"/>
        <v>3325</v>
      </c>
      <c r="BX13" s="112"/>
      <c r="BY13" s="113">
        <v>0</v>
      </c>
      <c r="BZ13" s="112"/>
      <c r="CA13" s="113">
        <v>0</v>
      </c>
      <c r="CB13" s="150">
        <f t="shared" si="33"/>
        <v>0</v>
      </c>
      <c r="CC13" s="148">
        <v>0</v>
      </c>
      <c r="CD13" s="148">
        <v>0</v>
      </c>
      <c r="CE13" s="112"/>
      <c r="CF13" s="113"/>
      <c r="CG13" s="151">
        <f t="shared" si="34"/>
        <v>0</v>
      </c>
      <c r="CH13" s="94">
        <f t="shared" si="35"/>
        <v>394259.5312</v>
      </c>
    </row>
    <row r="14" spans="1:86" ht="21.75" customHeight="1">
      <c r="A14" s="60">
        <v>10</v>
      </c>
      <c r="B14" s="49" t="s">
        <v>35</v>
      </c>
      <c r="C14" s="111"/>
      <c r="D14" s="59">
        <v>0</v>
      </c>
      <c r="E14" s="59">
        <f>SUM(C14*1355)</f>
        <v>0</v>
      </c>
      <c r="F14" s="91">
        <f t="shared" si="6"/>
        <v>0</v>
      </c>
      <c r="G14" s="182">
        <v>28</v>
      </c>
      <c r="H14" s="57">
        <v>1611</v>
      </c>
      <c r="I14" s="90">
        <f t="shared" si="7"/>
        <v>45108</v>
      </c>
      <c r="J14" s="182">
        <v>3</v>
      </c>
      <c r="K14" s="57">
        <v>8176</v>
      </c>
      <c r="L14" s="92">
        <f t="shared" si="0"/>
        <v>24528</v>
      </c>
      <c r="M14" s="182">
        <v>30</v>
      </c>
      <c r="N14" s="71">
        <v>1611</v>
      </c>
      <c r="O14" s="92">
        <f t="shared" si="1"/>
        <v>48330</v>
      </c>
      <c r="P14" s="182">
        <v>3</v>
      </c>
      <c r="Q14" s="71">
        <v>8176</v>
      </c>
      <c r="R14" s="92">
        <f t="shared" si="8"/>
        <v>24528</v>
      </c>
      <c r="S14" s="50"/>
      <c r="T14" s="73"/>
      <c r="U14" s="90">
        <f t="shared" si="9"/>
        <v>0</v>
      </c>
      <c r="V14" s="50"/>
      <c r="W14" s="57"/>
      <c r="X14" s="90">
        <f t="shared" si="10"/>
        <v>0</v>
      </c>
      <c r="Y14" s="51"/>
      <c r="Z14" s="57"/>
      <c r="AA14" s="58">
        <f t="shared" si="11"/>
        <v>0</v>
      </c>
      <c r="AB14" s="50"/>
      <c r="AC14" s="57"/>
      <c r="AD14" s="58">
        <f t="shared" si="12"/>
        <v>0</v>
      </c>
      <c r="AE14" s="58">
        <f t="shared" si="13"/>
        <v>0</v>
      </c>
      <c r="AF14" s="147">
        <f t="shared" si="14"/>
        <v>0</v>
      </c>
      <c r="AG14" s="50"/>
      <c r="AH14" s="58">
        <f t="shared" si="15"/>
        <v>0</v>
      </c>
      <c r="AI14" s="47"/>
      <c r="AJ14" s="58">
        <f t="shared" si="16"/>
        <v>0</v>
      </c>
      <c r="AK14" s="57">
        <f t="shared" si="17"/>
        <v>0</v>
      </c>
      <c r="AL14" s="147">
        <f t="shared" si="18"/>
        <v>0</v>
      </c>
      <c r="AM14" s="107">
        <f t="shared" si="2"/>
        <v>58</v>
      </c>
      <c r="AN14" s="90">
        <v>38400</v>
      </c>
      <c r="AO14" s="89">
        <f t="shared" si="19"/>
        <v>180894</v>
      </c>
      <c r="AP14" s="58">
        <f t="shared" si="20"/>
        <v>9225.594</v>
      </c>
      <c r="AQ14" s="176">
        <f>AO14+AP14</f>
        <v>190119.594</v>
      </c>
      <c r="AR14" s="174">
        <f t="shared" si="36"/>
        <v>182514.81024</v>
      </c>
      <c r="AS14" s="64">
        <v>38574.64</v>
      </c>
      <c r="AT14" s="64"/>
      <c r="AU14" s="64"/>
      <c r="AV14" s="102">
        <f t="shared" si="3"/>
        <v>221089.45023999998</v>
      </c>
      <c r="AW14" s="64">
        <v>24</v>
      </c>
      <c r="AX14" s="57">
        <v>688</v>
      </c>
      <c r="AY14" s="58">
        <f t="shared" si="22"/>
        <v>16512</v>
      </c>
      <c r="AZ14" s="64">
        <v>1</v>
      </c>
      <c r="BA14" s="57">
        <v>1758</v>
      </c>
      <c r="BB14" s="58">
        <f t="shared" si="23"/>
        <v>1758</v>
      </c>
      <c r="BC14" s="58">
        <f t="shared" si="24"/>
        <v>18270</v>
      </c>
      <c r="BD14" s="57">
        <f t="shared" si="25"/>
        <v>931.77</v>
      </c>
      <c r="BE14" s="147">
        <f t="shared" si="26"/>
        <v>19201.77</v>
      </c>
      <c r="BF14" s="61"/>
      <c r="BG14" s="74"/>
      <c r="BH14" s="148">
        <f t="shared" si="27"/>
        <v>0</v>
      </c>
      <c r="BI14" s="56">
        <v>0</v>
      </c>
      <c r="BJ14" s="68">
        <v>0</v>
      </c>
      <c r="BK14" s="56">
        <v>1</v>
      </c>
      <c r="BL14" s="57">
        <f t="shared" si="28"/>
        <v>405</v>
      </c>
      <c r="BM14" s="147">
        <f t="shared" si="29"/>
        <v>405</v>
      </c>
      <c r="BN14" s="47">
        <f t="shared" si="4"/>
        <v>28</v>
      </c>
      <c r="BO14" s="57">
        <v>94</v>
      </c>
      <c r="BP14" s="147">
        <f t="shared" si="30"/>
        <v>2632</v>
      </c>
      <c r="BQ14" s="100">
        <v>58</v>
      </c>
      <c r="BR14" s="57">
        <v>1900</v>
      </c>
      <c r="BS14" s="57">
        <v>26.4</v>
      </c>
      <c r="BT14" s="147">
        <f t="shared" si="31"/>
        <v>3431.2</v>
      </c>
      <c r="BU14" s="181">
        <f t="shared" si="37"/>
        <v>58</v>
      </c>
      <c r="BV14" s="57">
        <v>25</v>
      </c>
      <c r="BW14" s="147">
        <f t="shared" si="32"/>
        <v>1450</v>
      </c>
      <c r="BX14" s="112"/>
      <c r="BY14" s="113">
        <v>0</v>
      </c>
      <c r="BZ14" s="112"/>
      <c r="CA14" s="113">
        <v>0</v>
      </c>
      <c r="CB14" s="150">
        <f t="shared" si="33"/>
        <v>0</v>
      </c>
      <c r="CC14" s="148">
        <v>0</v>
      </c>
      <c r="CD14" s="148">
        <v>0</v>
      </c>
      <c r="CE14" s="112"/>
      <c r="CF14" s="113"/>
      <c r="CG14" s="151">
        <f t="shared" si="34"/>
        <v>0</v>
      </c>
      <c r="CH14" s="94">
        <f t="shared" si="35"/>
        <v>248209.42023999998</v>
      </c>
    </row>
    <row r="15" spans="1:86" s="130" customFormat="1" ht="21.75" customHeight="1">
      <c r="A15" s="100"/>
      <c r="B15" s="49" t="s">
        <v>1</v>
      </c>
      <c r="C15" s="100">
        <v>5</v>
      </c>
      <c r="D15" s="58"/>
      <c r="E15" s="58"/>
      <c r="F15" s="90">
        <f>SUM(F5:F14)</f>
        <v>8719</v>
      </c>
      <c r="G15" s="100">
        <f>SUM(G5:G14)</f>
        <v>744</v>
      </c>
      <c r="H15" s="58"/>
      <c r="I15" s="90">
        <f>SUM(I5:I14)</f>
        <v>1198584</v>
      </c>
      <c r="J15" s="100">
        <f>SUM(J5:J14)</f>
        <v>45</v>
      </c>
      <c r="K15" s="58"/>
      <c r="L15" s="92">
        <f>SUM(L5:L14)</f>
        <v>367920</v>
      </c>
      <c r="M15" s="100">
        <f>SUM(M5:M14)</f>
        <v>563</v>
      </c>
      <c r="N15" s="183"/>
      <c r="O15" s="92">
        <f>SUM(O5:O14)</f>
        <v>906993</v>
      </c>
      <c r="P15" s="100">
        <f>SUM(P5:P14)</f>
        <v>32</v>
      </c>
      <c r="Q15" s="183"/>
      <c r="R15" s="92">
        <f>SUM(R5:R14)</f>
        <v>261632</v>
      </c>
      <c r="S15" s="100">
        <f>SUM(S5:S14)</f>
        <v>236</v>
      </c>
      <c r="T15" s="183">
        <v>1370</v>
      </c>
      <c r="U15" s="90">
        <f>SUM(U5:U14)</f>
        <v>380196</v>
      </c>
      <c r="V15" s="100">
        <v>11</v>
      </c>
      <c r="W15" s="58"/>
      <c r="X15" s="90">
        <f>SUM(X5:X14)</f>
        <v>89936</v>
      </c>
      <c r="Y15" s="70">
        <f>SUM(Y5:Y14)</f>
        <v>59</v>
      </c>
      <c r="Z15" s="65"/>
      <c r="AA15" s="65">
        <f>SUM(AA5:AA14)</f>
        <v>184670</v>
      </c>
      <c r="AB15" s="99">
        <v>3</v>
      </c>
      <c r="AC15" s="65"/>
      <c r="AD15" s="65">
        <f>SUM(AD5:AD14)</f>
        <v>24528</v>
      </c>
      <c r="AE15" s="65">
        <f>SUM(AE5:AE14)</f>
        <v>10669.098</v>
      </c>
      <c r="AF15" s="148">
        <f>SUM(AF5:AF14)</f>
        <v>219867.098</v>
      </c>
      <c r="AG15" s="99">
        <f>SUM(AG5:AG14)</f>
        <v>25</v>
      </c>
      <c r="AH15" s="65">
        <f>SUM(AH5:AH14)</f>
        <v>71325</v>
      </c>
      <c r="AI15" s="84">
        <v>1</v>
      </c>
      <c r="AJ15" s="65">
        <f>SUM(AJ5:AJ14)</f>
        <v>10934</v>
      </c>
      <c r="AK15" s="65">
        <f>SUM(AK5:AK14)</f>
        <v>4195.209</v>
      </c>
      <c r="AL15" s="148">
        <f>SUM(AL5:AL14)</f>
        <v>86454.209</v>
      </c>
      <c r="AM15" s="88">
        <f>SUM(AM5:AM14)</f>
        <v>1543</v>
      </c>
      <c r="AN15" s="91">
        <f>AN5+AN6+AN7+AN8+AN9+AN10+AN11+AN12+AN13+AN14</f>
        <v>384000</v>
      </c>
      <c r="AO15" s="93">
        <f>SUM(AO5:AO14)</f>
        <v>3597980</v>
      </c>
      <c r="AP15" s="65">
        <f>SUM(AP5:AP14)</f>
        <v>183496.97999999998</v>
      </c>
      <c r="AQ15" s="177">
        <f>SUM(AQ5:AQ14)</f>
        <v>3781476.9799999995</v>
      </c>
      <c r="AR15" s="175">
        <f>SUM(AR5:AR14)</f>
        <v>3630217.9008</v>
      </c>
      <c r="AS15" s="101">
        <f>SUM(AS5:AS14)</f>
        <v>132351.64</v>
      </c>
      <c r="AT15" s="101">
        <f>SUM(AT6:AT14)</f>
        <v>18907</v>
      </c>
      <c r="AU15" s="101"/>
      <c r="AV15" s="102">
        <f t="shared" si="3"/>
        <v>3781476.5408</v>
      </c>
      <c r="AW15" s="103">
        <f>SUM(AW5:AW14)</f>
        <v>656</v>
      </c>
      <c r="AX15" s="58"/>
      <c r="AY15" s="58">
        <f>SUM(AY5:AY14)</f>
        <v>451328</v>
      </c>
      <c r="AZ15" s="103">
        <f>SUM(AZ5:AZ14)</f>
        <v>33</v>
      </c>
      <c r="BA15" s="58"/>
      <c r="BB15" s="58">
        <f>SUM(BB5:BB14)</f>
        <v>58014</v>
      </c>
      <c r="BC15" s="58">
        <f>SUM(BC5:BC14)</f>
        <v>509342</v>
      </c>
      <c r="BD15" s="58">
        <f>SUM(BD5:BD14)</f>
        <v>25976.442</v>
      </c>
      <c r="BE15" s="147">
        <f>SUM(BE5:BE14)</f>
        <v>535318.442</v>
      </c>
      <c r="BF15" s="103"/>
      <c r="BG15" s="58"/>
      <c r="BH15" s="147">
        <f>SUM(BH5:BH14)</f>
        <v>3174</v>
      </c>
      <c r="BI15" s="69">
        <f>SUM(BI5:BI14)</f>
        <v>14</v>
      </c>
      <c r="BJ15" s="65">
        <f>SUM(BJ5:BJ14)</f>
        <v>40446</v>
      </c>
      <c r="BK15" s="69">
        <f>SUM(BK6:BK14)</f>
        <v>18</v>
      </c>
      <c r="BL15" s="65">
        <f>SUM(BL5:BL14)</f>
        <v>7290</v>
      </c>
      <c r="BM15" s="148">
        <f>SUM(BM5:BM14)</f>
        <v>47736</v>
      </c>
      <c r="BN15" s="69">
        <f>SUM(BN5:BN14)</f>
        <v>744</v>
      </c>
      <c r="BO15" s="65"/>
      <c r="BP15" s="148">
        <f>SUM(BP5:BP14)</f>
        <v>69936</v>
      </c>
      <c r="BQ15" s="101">
        <f>SUM(BQ5:BQ14)</f>
        <v>1627</v>
      </c>
      <c r="BR15" s="65">
        <f>SUM(BR5:BR14)</f>
        <v>19000</v>
      </c>
      <c r="BS15" s="65"/>
      <c r="BT15" s="148">
        <f>SUM(BT5:BT14)</f>
        <v>61952.79999999999</v>
      </c>
      <c r="BU15" s="101">
        <f>SUM(BU5:BU14)</f>
        <v>1627</v>
      </c>
      <c r="BV15" s="65"/>
      <c r="BW15" s="148">
        <f>SUM(BW5:BW14)</f>
        <v>40675</v>
      </c>
      <c r="BX15" s="118">
        <f>SUM(BX6:BX14)</f>
        <v>296</v>
      </c>
      <c r="BY15" s="119"/>
      <c r="BZ15" s="118">
        <f>SUM(BZ5:BZ14)</f>
        <v>25</v>
      </c>
      <c r="CA15" s="119"/>
      <c r="CB15" s="151">
        <f>SUM(CB5:CB14)</f>
        <v>28177</v>
      </c>
      <c r="CC15" s="148">
        <f>SUM(CC5:CC14)</f>
        <v>22446</v>
      </c>
      <c r="CD15" s="148">
        <f>SUM(CD5:CD14)</f>
        <v>8712</v>
      </c>
      <c r="CE15" s="118">
        <f>SUM(CE6:CE14)</f>
        <v>320</v>
      </c>
      <c r="CF15" s="119"/>
      <c r="CG15" s="151">
        <f>SUM(CG5:CG14)</f>
        <v>12480</v>
      </c>
      <c r="CH15" s="94">
        <f>F15+I15+L15+O15+R15+U15+X15+AA15+AD15+AE15+AH15+AJ15+AK15+AN15+AP15+AY15+BB15+BD15+BH15+BJ15+BL15+BP15+BT15+BW15+CB15+CC15+CD15+CG15</f>
        <v>4918405.529</v>
      </c>
    </row>
    <row r="17" ht="12.75">
      <c r="AQ17" s="135">
        <f>AQ15*AS4</f>
        <v>132351.6943</v>
      </c>
    </row>
    <row r="18" ht="12.75">
      <c r="AQ18" s="135">
        <v>199</v>
      </c>
    </row>
    <row r="19" ht="12.75">
      <c r="AQ19" s="135">
        <f>AQ17/AQ18</f>
        <v>665.0838909547739</v>
      </c>
    </row>
    <row r="24" ht="12.75">
      <c r="D24" s="132"/>
    </row>
  </sheetData>
  <sheetProtection/>
  <mergeCells count="30">
    <mergeCell ref="B1:CD1"/>
    <mergeCell ref="BI2:BL2"/>
    <mergeCell ref="A3:A4"/>
    <mergeCell ref="B3:B4"/>
    <mergeCell ref="C3:C4"/>
    <mergeCell ref="D3:D4"/>
    <mergeCell ref="E3:E4"/>
    <mergeCell ref="F3:F4"/>
    <mergeCell ref="G3:L3"/>
    <mergeCell ref="M3:R3"/>
    <mergeCell ref="S3:X3"/>
    <mergeCell ref="Y3:AF3"/>
    <mergeCell ref="AG3:AL3"/>
    <mergeCell ref="AM3:AO3"/>
    <mergeCell ref="AP3:AP4"/>
    <mergeCell ref="AQ3:AQ4"/>
    <mergeCell ref="AR3:AU3"/>
    <mergeCell ref="AV3:AV4"/>
    <mergeCell ref="AW3:BE3"/>
    <mergeCell ref="BF3:BH3"/>
    <mergeCell ref="BI3:BJ3"/>
    <mergeCell ref="BK3:BL3"/>
    <mergeCell ref="CE3:CG3"/>
    <mergeCell ref="CH3:CH4"/>
    <mergeCell ref="BN3:BP3"/>
    <mergeCell ref="BQ3:BT3"/>
    <mergeCell ref="BU3:BW3"/>
    <mergeCell ref="BX3:CB3"/>
    <mergeCell ref="CC3:CC4"/>
    <mergeCell ref="CD3:C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"/>
  <sheetViews>
    <sheetView zoomScalePageLayoutView="0" workbookViewId="0" topLeftCell="Q1">
      <selection activeCell="AQ5" sqref="AQ5"/>
    </sheetView>
  </sheetViews>
  <sheetFormatPr defaultColWidth="9.140625" defaultRowHeight="12.75"/>
  <cols>
    <col min="1" max="1" width="21.57421875" style="152" customWidth="1"/>
    <col min="2" max="2" width="12.140625" style="160" bestFit="1" customWidth="1"/>
    <col min="3" max="3" width="5.7109375" style="55" customWidth="1"/>
    <col min="4" max="5" width="12.140625" style="160" bestFit="1" customWidth="1"/>
    <col min="6" max="6" width="5.7109375" style="55" customWidth="1"/>
    <col min="7" max="7" width="9.421875" style="160" bestFit="1" customWidth="1"/>
    <col min="8" max="8" width="10.140625" style="160" bestFit="1" customWidth="1"/>
    <col min="9" max="9" width="5.7109375" style="55" customWidth="1"/>
    <col min="10" max="10" width="9.28125" style="55" bestFit="1" customWidth="1"/>
    <col min="11" max="11" width="11.00390625" style="55" customWidth="1"/>
    <col min="12" max="12" width="5.7109375" style="55" customWidth="1"/>
    <col min="13" max="13" width="9.28125" style="55" bestFit="1" customWidth="1"/>
    <col min="14" max="14" width="11.00390625" style="55" customWidth="1"/>
    <col min="15" max="15" width="8.7109375" style="167" customWidth="1"/>
    <col min="16" max="18" width="11.00390625" style="55" customWidth="1"/>
    <col min="19" max="19" width="5.7109375" style="55" customWidth="1"/>
    <col min="20" max="20" width="9.28125" style="55" bestFit="1" customWidth="1"/>
    <col min="21" max="21" width="11.00390625" style="55" customWidth="1"/>
    <col min="22" max="22" width="5.7109375" style="55" customWidth="1"/>
    <col min="23" max="23" width="9.28125" style="55" bestFit="1" customWidth="1"/>
    <col min="24" max="25" width="11.00390625" style="55" customWidth="1"/>
    <col min="26" max="26" width="5.7109375" style="55" customWidth="1"/>
    <col min="27" max="27" width="9.28125" style="55" bestFit="1" customWidth="1"/>
    <col min="28" max="31" width="11.00390625" style="55" customWidth="1"/>
    <col min="32" max="32" width="5.7109375" style="55" customWidth="1"/>
    <col min="33" max="33" width="9.28125" style="55" bestFit="1" customWidth="1"/>
    <col min="34" max="34" width="11.00390625" style="55" customWidth="1"/>
    <col min="35" max="35" width="9.421875" style="160" bestFit="1" customWidth="1"/>
    <col min="36" max="36" width="10.140625" style="160" bestFit="1" customWidth="1"/>
    <col min="37" max="37" width="10.140625" style="160" customWidth="1"/>
    <col min="38" max="38" width="9.421875" style="160" bestFit="1" customWidth="1"/>
    <col min="39" max="42" width="9.421875" style="160" customWidth="1"/>
    <col min="43" max="43" width="11.00390625" style="170" bestFit="1" customWidth="1"/>
    <col min="44" max="16384" width="9.140625" style="152" customWidth="1"/>
  </cols>
  <sheetData>
    <row r="1" spans="1:43" ht="22.5" customHeight="1">
      <c r="A1" s="276" t="s">
        <v>69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</row>
    <row r="2" spans="1:43" s="169" customFormat="1" ht="38.25" customHeight="1">
      <c r="A2" s="282" t="s">
        <v>72</v>
      </c>
      <c r="B2" s="220" t="s">
        <v>19</v>
      </c>
      <c r="C2" s="278" t="s">
        <v>78</v>
      </c>
      <c r="D2" s="279"/>
      <c r="E2" s="280"/>
      <c r="F2" s="281" t="s">
        <v>74</v>
      </c>
      <c r="G2" s="272"/>
      <c r="H2" s="273"/>
      <c r="I2" s="252" t="s">
        <v>76</v>
      </c>
      <c r="J2" s="253"/>
      <c r="K2" s="254"/>
      <c r="L2" s="255" t="s">
        <v>77</v>
      </c>
      <c r="M2" s="256"/>
      <c r="N2" s="257"/>
      <c r="O2" s="258" t="s">
        <v>91</v>
      </c>
      <c r="P2" s="258" t="s">
        <v>85</v>
      </c>
      <c r="Q2" s="258" t="s">
        <v>86</v>
      </c>
      <c r="R2" s="258" t="s">
        <v>87</v>
      </c>
      <c r="S2" s="289" t="s">
        <v>79</v>
      </c>
      <c r="T2" s="289"/>
      <c r="U2" s="290"/>
      <c r="V2" s="263" t="s">
        <v>80</v>
      </c>
      <c r="W2" s="264"/>
      <c r="X2" s="265"/>
      <c r="Y2" s="260" t="s">
        <v>82</v>
      </c>
      <c r="Z2" s="261"/>
      <c r="AA2" s="261"/>
      <c r="AB2" s="261"/>
      <c r="AC2" s="261"/>
      <c r="AD2" s="261"/>
      <c r="AE2" s="262"/>
      <c r="AF2" s="269" t="s">
        <v>28</v>
      </c>
      <c r="AG2" s="270"/>
      <c r="AH2" s="271"/>
      <c r="AI2" s="283" t="s">
        <v>92</v>
      </c>
      <c r="AJ2" s="283" t="s">
        <v>93</v>
      </c>
      <c r="AK2" s="283" t="s">
        <v>102</v>
      </c>
      <c r="AL2" s="266" t="s">
        <v>97</v>
      </c>
      <c r="AM2" s="267"/>
      <c r="AN2" s="268"/>
      <c r="AO2" s="272" t="s">
        <v>98</v>
      </c>
      <c r="AP2" s="273"/>
      <c r="AQ2" s="274" t="s">
        <v>99</v>
      </c>
    </row>
    <row r="3" spans="1:43" s="157" customFormat="1" ht="48" customHeight="1">
      <c r="A3" s="221"/>
      <c r="B3" s="221"/>
      <c r="C3" s="75" t="s">
        <v>71</v>
      </c>
      <c r="D3" s="81" t="s">
        <v>39</v>
      </c>
      <c r="E3" s="81" t="s">
        <v>73</v>
      </c>
      <c r="F3" s="161" t="s">
        <v>75</v>
      </c>
      <c r="G3" s="104" t="s">
        <v>12</v>
      </c>
      <c r="H3" s="104" t="s">
        <v>5</v>
      </c>
      <c r="I3" s="82" t="s">
        <v>75</v>
      </c>
      <c r="J3" s="83" t="s">
        <v>12</v>
      </c>
      <c r="K3" s="83" t="s">
        <v>5</v>
      </c>
      <c r="L3" s="163" t="s">
        <v>75</v>
      </c>
      <c r="M3" s="145" t="s">
        <v>12</v>
      </c>
      <c r="N3" s="145" t="s">
        <v>5</v>
      </c>
      <c r="O3" s="259"/>
      <c r="P3" s="259"/>
      <c r="Q3" s="259"/>
      <c r="R3" s="259"/>
      <c r="S3" s="162" t="s">
        <v>20</v>
      </c>
      <c r="T3" s="162" t="s">
        <v>12</v>
      </c>
      <c r="U3" s="162" t="s">
        <v>5</v>
      </c>
      <c r="V3" s="164" t="s">
        <v>81</v>
      </c>
      <c r="W3" s="164" t="s">
        <v>12</v>
      </c>
      <c r="X3" s="164" t="s">
        <v>5</v>
      </c>
      <c r="Y3" s="165" t="s">
        <v>83</v>
      </c>
      <c r="Z3" s="165" t="s">
        <v>6</v>
      </c>
      <c r="AA3" s="165" t="s">
        <v>84</v>
      </c>
      <c r="AB3" s="165" t="s">
        <v>5</v>
      </c>
      <c r="AC3" s="165" t="s">
        <v>88</v>
      </c>
      <c r="AD3" s="165" t="s">
        <v>89</v>
      </c>
      <c r="AE3" s="165" t="s">
        <v>90</v>
      </c>
      <c r="AF3" s="97" t="s">
        <v>30</v>
      </c>
      <c r="AG3" s="97" t="s">
        <v>84</v>
      </c>
      <c r="AH3" s="97" t="s">
        <v>5</v>
      </c>
      <c r="AI3" s="284"/>
      <c r="AJ3" s="284"/>
      <c r="AK3" s="284"/>
      <c r="AL3" s="179" t="s">
        <v>94</v>
      </c>
      <c r="AM3" s="179" t="s">
        <v>95</v>
      </c>
      <c r="AN3" s="179" t="s">
        <v>96</v>
      </c>
      <c r="AO3" s="104" t="s">
        <v>95</v>
      </c>
      <c r="AP3" s="104" t="s">
        <v>96</v>
      </c>
      <c r="AQ3" s="275"/>
    </row>
    <row r="4" spans="1:43" s="154" customFormat="1" ht="19.5" customHeight="1">
      <c r="A4" s="153" t="s">
        <v>18</v>
      </c>
      <c r="B4" s="71">
        <v>38400</v>
      </c>
      <c r="C4" s="180">
        <v>7</v>
      </c>
      <c r="D4" s="71">
        <v>10934</v>
      </c>
      <c r="E4" s="71">
        <f>C4*D4</f>
        <v>76538</v>
      </c>
      <c r="F4" s="158">
        <v>13</v>
      </c>
      <c r="G4" s="71">
        <v>2471</v>
      </c>
      <c r="H4" s="71">
        <f>F4*G4</f>
        <v>32123</v>
      </c>
      <c r="I4" s="158">
        <v>46</v>
      </c>
      <c r="J4" s="71">
        <v>2853</v>
      </c>
      <c r="K4" s="71">
        <f>I4*J4</f>
        <v>131238</v>
      </c>
      <c r="L4" s="158">
        <v>81</v>
      </c>
      <c r="M4" s="71">
        <v>2148</v>
      </c>
      <c r="N4" s="71">
        <f>L4*M4</f>
        <v>173988</v>
      </c>
      <c r="O4" s="181">
        <f>F4+I4+L4</f>
        <v>140</v>
      </c>
      <c r="P4" s="71">
        <f>B4+E4+H4+K4+N4</f>
        <v>452287</v>
      </c>
      <c r="Q4" s="71">
        <f>P4*0.051</f>
        <v>23066.637</v>
      </c>
      <c r="R4" s="71">
        <f>P4+Q4</f>
        <v>475353.637</v>
      </c>
      <c r="S4" s="158">
        <v>15</v>
      </c>
      <c r="T4" s="71">
        <v>1892</v>
      </c>
      <c r="U4" s="71">
        <f>S4*T4</f>
        <v>28380</v>
      </c>
      <c r="V4" s="158">
        <v>11</v>
      </c>
      <c r="W4" s="71">
        <v>529</v>
      </c>
      <c r="X4" s="71">
        <f>V4*W4</f>
        <v>5819</v>
      </c>
      <c r="Y4" s="71">
        <v>9913</v>
      </c>
      <c r="Z4" s="158">
        <v>18</v>
      </c>
      <c r="AA4" s="71">
        <v>1776</v>
      </c>
      <c r="AB4" s="71">
        <f>Z4*AA4</f>
        <v>31968</v>
      </c>
      <c r="AC4" s="71">
        <f>Y4+AB4</f>
        <v>41881</v>
      </c>
      <c r="AD4" s="71">
        <f>AC4*0.051</f>
        <v>2135.931</v>
      </c>
      <c r="AE4" s="71">
        <f>AC4+AD4</f>
        <v>44016.931</v>
      </c>
      <c r="AF4" s="158">
        <v>12</v>
      </c>
      <c r="AG4" s="71">
        <v>405</v>
      </c>
      <c r="AH4" s="71">
        <f>AF4*AG4</f>
        <v>4860</v>
      </c>
      <c r="AI4" s="183">
        <f>O4*25</f>
        <v>3500</v>
      </c>
      <c r="AJ4" s="183">
        <f>O4*97</f>
        <v>13580</v>
      </c>
      <c r="AK4" s="183">
        <v>3406</v>
      </c>
      <c r="AL4" s="71">
        <v>1900</v>
      </c>
      <c r="AM4" s="71">
        <v>26.4</v>
      </c>
      <c r="AN4" s="71">
        <f>AL4+(AM4*O4)</f>
        <v>5596</v>
      </c>
      <c r="AO4" s="71">
        <v>39</v>
      </c>
      <c r="AP4" s="71">
        <f>AO4*O4</f>
        <v>5460</v>
      </c>
      <c r="AQ4" s="171">
        <f>R4+U4+X4+AE4+AH4+AI4+AJ4+AK4+AN4+AP4</f>
        <v>589971.568</v>
      </c>
    </row>
    <row r="5" spans="1:43" s="156" customFormat="1" ht="11.25">
      <c r="A5" s="155" t="s">
        <v>70</v>
      </c>
      <c r="B5" s="159">
        <f>SUM(B4)</f>
        <v>38400</v>
      </c>
      <c r="C5" s="99"/>
      <c r="D5" s="159"/>
      <c r="E5" s="159">
        <f>SUM(E4)</f>
        <v>76538</v>
      </c>
      <c r="F5" s="99"/>
      <c r="G5" s="159"/>
      <c r="H5" s="159">
        <f>SUM(H4)</f>
        <v>32123</v>
      </c>
      <c r="I5" s="99"/>
      <c r="J5" s="159"/>
      <c r="K5" s="159">
        <f>SUM(K4)</f>
        <v>131238</v>
      </c>
      <c r="L5" s="99"/>
      <c r="M5" s="159"/>
      <c r="N5" s="159">
        <f>SUM(N4)</f>
        <v>173988</v>
      </c>
      <c r="O5" s="166"/>
      <c r="P5" s="159">
        <f>SUM(P4)</f>
        <v>452287</v>
      </c>
      <c r="Q5" s="159">
        <f>SUM(Q4)</f>
        <v>23066.637</v>
      </c>
      <c r="R5" s="159">
        <f>SUM(R4)</f>
        <v>475353.637</v>
      </c>
      <c r="S5" s="99"/>
      <c r="T5" s="159"/>
      <c r="U5" s="159">
        <f>SUM(U4)</f>
        <v>28380</v>
      </c>
      <c r="V5" s="99"/>
      <c r="W5" s="159"/>
      <c r="X5" s="159">
        <f>SUM(X4)</f>
        <v>5819</v>
      </c>
      <c r="Y5" s="159"/>
      <c r="Z5" s="99"/>
      <c r="AA5" s="159"/>
      <c r="AB5" s="159">
        <f>SUM(AB4)</f>
        <v>31968</v>
      </c>
      <c r="AC5" s="159">
        <f>SUM(AC4)</f>
        <v>41881</v>
      </c>
      <c r="AD5" s="159">
        <f>SUM(AD4)</f>
        <v>2135.931</v>
      </c>
      <c r="AE5" s="159">
        <f>SUM(AE4)</f>
        <v>44016.931</v>
      </c>
      <c r="AF5" s="99"/>
      <c r="AG5" s="159"/>
      <c r="AH5" s="159">
        <f>SUM(AH4)</f>
        <v>4860</v>
      </c>
      <c r="AI5" s="159">
        <f>SUM(AI4)</f>
        <v>3500</v>
      </c>
      <c r="AJ5" s="159">
        <f>SUM(AJ4)</f>
        <v>13580</v>
      </c>
      <c r="AK5" s="159">
        <v>3406</v>
      </c>
      <c r="AL5" s="159"/>
      <c r="AM5" s="159">
        <f>SUM(AM4)</f>
        <v>26.4</v>
      </c>
      <c r="AN5" s="159">
        <f>SUM(AN4)</f>
        <v>5596</v>
      </c>
      <c r="AO5" s="159">
        <f>SUM(AO4)</f>
        <v>39</v>
      </c>
      <c r="AP5" s="159">
        <f>SUM(AP4)</f>
        <v>5460</v>
      </c>
      <c r="AQ5" s="172">
        <f>SUM(AQ4)</f>
        <v>589971.568</v>
      </c>
    </row>
    <row r="8" spans="15:24" ht="12.75">
      <c r="O8" s="168"/>
      <c r="X8" s="55" t="s">
        <v>101</v>
      </c>
    </row>
    <row r="17" ht="26.25" customHeight="1"/>
  </sheetData>
  <sheetProtection/>
  <mergeCells count="21">
    <mergeCell ref="R2:R3"/>
    <mergeCell ref="AK2:AK3"/>
    <mergeCell ref="V2:X2"/>
    <mergeCell ref="AQ2:AQ3"/>
    <mergeCell ref="I2:K2"/>
    <mergeCell ref="S2:U2"/>
    <mergeCell ref="O2:O3"/>
    <mergeCell ref="AL2:AN2"/>
    <mergeCell ref="Q2:Q3"/>
    <mergeCell ref="L2:N2"/>
    <mergeCell ref="P2:P3"/>
    <mergeCell ref="Y2:AE2"/>
    <mergeCell ref="AI2:AI3"/>
    <mergeCell ref="AF2:AH2"/>
    <mergeCell ref="A1:AQ1"/>
    <mergeCell ref="A2:A3"/>
    <mergeCell ref="B2:B3"/>
    <mergeCell ref="C2:E2"/>
    <mergeCell ref="F2:H2"/>
    <mergeCell ref="AJ2:AJ3"/>
    <mergeCell ref="AO2:AP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C1">
      <selection activeCell="AC1" sqref="A1:IV16384"/>
    </sheetView>
  </sheetViews>
  <sheetFormatPr defaultColWidth="9.140625" defaultRowHeight="12.75"/>
  <cols>
    <col min="1" max="1" width="9.140625" style="120" customWidth="1"/>
    <col min="2" max="2" width="9.140625" style="131" customWidth="1"/>
    <col min="3" max="3" width="9.140625" style="120" customWidth="1"/>
    <col min="4" max="6" width="9.140625" style="121" customWidth="1"/>
    <col min="7" max="7" width="9.140625" style="133" customWidth="1"/>
    <col min="8" max="9" width="9.140625" style="121" customWidth="1"/>
    <col min="10" max="10" width="9.140625" style="133" customWidth="1"/>
    <col min="11" max="11" width="9.140625" style="121" customWidth="1"/>
    <col min="12" max="12" width="9.140625" style="120" customWidth="1"/>
    <col min="13" max="14" width="9.140625" style="133" customWidth="1"/>
    <col min="15" max="15" width="9.140625" style="120" customWidth="1"/>
    <col min="16" max="17" width="9.140625" style="133" customWidth="1"/>
    <col min="18" max="19" width="9.140625" style="120" customWidth="1"/>
    <col min="20" max="20" width="9.140625" style="134" customWidth="1"/>
    <col min="21" max="21" width="9.140625" style="135" customWidth="1"/>
    <col min="22" max="22" width="9.140625" style="120" customWidth="1"/>
    <col min="23" max="24" width="9.140625" style="135" customWidth="1"/>
    <col min="25" max="25" width="9.140625" style="121" customWidth="1"/>
    <col min="26" max="26" width="9.140625" style="135" customWidth="1"/>
    <col min="27" max="27" width="9.140625" style="136" customWidth="1"/>
    <col min="28" max="28" width="9.140625" style="120" customWidth="1"/>
    <col min="29" max="29" width="9.140625" style="135" customWidth="1"/>
    <col min="30" max="30" width="9.140625" style="136" customWidth="1"/>
    <col min="31" max="31" width="9.140625" style="135" customWidth="1"/>
    <col min="32" max="32" width="9.140625" style="136" customWidth="1"/>
    <col min="33" max="33" width="9.140625" style="120" customWidth="1"/>
    <col min="34" max="34" width="9.140625" style="136" customWidth="1"/>
    <col min="35" max="35" width="9.140625" style="137" customWidth="1"/>
    <col min="36" max="36" width="9.140625" style="136" customWidth="1"/>
    <col min="37" max="37" width="9.140625" style="135" customWidth="1"/>
    <col min="38" max="38" width="9.140625" style="136" customWidth="1"/>
    <col min="39" max="39" width="9.140625" style="138" customWidth="1"/>
    <col min="40" max="40" width="9.140625" style="136" customWidth="1"/>
    <col min="41" max="44" width="9.140625" style="135" customWidth="1"/>
    <col min="45" max="47" width="9.140625" style="120" customWidth="1"/>
    <col min="48" max="48" width="9.140625" style="121" customWidth="1"/>
    <col min="49" max="49" width="9.140625" style="120" customWidth="1"/>
    <col min="50" max="51" width="9.140625" style="135" customWidth="1"/>
    <col min="52" max="52" width="9.140625" style="120" customWidth="1"/>
    <col min="53" max="55" width="9.140625" style="135" customWidth="1"/>
    <col min="56" max="57" width="9.140625" style="121" customWidth="1"/>
    <col min="58" max="58" width="9.140625" style="133" customWidth="1"/>
    <col min="59" max="63" width="9.140625" style="139" customWidth="1"/>
    <col min="64" max="64" width="9.140625" style="140" customWidth="1"/>
    <col min="65" max="65" width="9.140625" style="139" customWidth="1"/>
    <col min="66" max="66" width="9.140625" style="140" customWidth="1"/>
    <col min="67" max="68" width="9.140625" style="135" customWidth="1"/>
    <col min="69" max="69" width="9.140625" style="121" customWidth="1"/>
    <col min="70" max="71" width="9.140625" style="135" customWidth="1"/>
    <col min="72" max="72" width="9.140625" style="120" customWidth="1"/>
    <col min="73" max="75" width="9.140625" style="135" customWidth="1"/>
    <col min="76" max="76" width="9.140625" style="138" customWidth="1"/>
    <col min="77" max="78" width="9.140625" style="135" customWidth="1"/>
    <col min="79" max="79" width="9.140625" style="141" customWidth="1"/>
    <col min="80" max="80" width="9.140625" style="142" customWidth="1"/>
    <col min="81" max="81" width="9.140625" style="141" customWidth="1"/>
    <col min="82" max="83" width="9.140625" style="142" customWidth="1"/>
    <col min="84" max="85" width="9.140625" style="135" customWidth="1"/>
    <col min="86" max="86" width="9.140625" style="141" customWidth="1"/>
    <col min="87" max="90" width="9.140625" style="142" customWidth="1"/>
    <col min="91" max="91" width="9.140625" style="135" customWidth="1"/>
    <col min="92" max="16384" width="9.140625" style="12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Elin Pelin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work</cp:lastModifiedBy>
  <cp:lastPrinted>2020-02-10T14:51:09Z</cp:lastPrinted>
  <dcterms:created xsi:type="dcterms:W3CDTF">2009-04-02T12:14:16Z</dcterms:created>
  <dcterms:modified xsi:type="dcterms:W3CDTF">2021-02-22T09:37:19Z</dcterms:modified>
  <cp:category/>
  <cp:version/>
  <cp:contentType/>
  <cp:contentStatus/>
</cp:coreProperties>
</file>